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1055" activeTab="3"/>
  </bookViews>
  <sheets>
    <sheet name="Výběhy" sheetId="1" r:id="rId1"/>
    <sheet name="Soupaže" sheetId="2" r:id="rId2"/>
    <sheet name="Motorické testy" sheetId="3" r:id="rId3"/>
    <sheet name="KROS" sheetId="4" r:id="rId4"/>
  </sheets>
  <definedNames/>
  <calcPr fullCalcOnLoad="1"/>
</workbook>
</file>

<file path=xl/sharedStrings.xml><?xml version="1.0" encoding="utf-8"?>
<sst xmlns="http://schemas.openxmlformats.org/spreadsheetml/2006/main" count="278" uniqueCount="99">
  <si>
    <t>Σ</t>
  </si>
  <si>
    <t>Ročník</t>
  </si>
  <si>
    <t>Horvát Petr</t>
  </si>
  <si>
    <t>Vystavěl Ondřej</t>
  </si>
  <si>
    <t>Pořadí</t>
  </si>
  <si>
    <t>Škoda Jakub</t>
  </si>
  <si>
    <t xml:space="preserve">1. </t>
  </si>
  <si>
    <t>2.</t>
  </si>
  <si>
    <t>3.</t>
  </si>
  <si>
    <t>4.</t>
  </si>
  <si>
    <t>5.</t>
  </si>
  <si>
    <t>Laciga Radek</t>
  </si>
  <si>
    <t>Muži - interval startu 9´</t>
  </si>
  <si>
    <t>Junioři - interval startu 9´</t>
  </si>
  <si>
    <t>Dorostenci - interval startu 10´</t>
  </si>
  <si>
    <t>Ženy - interval startu 10´</t>
  </si>
  <si>
    <t>Juniorky a dorostenky - int. startu 10´</t>
  </si>
  <si>
    <t>Hasman Ondřej</t>
  </si>
  <si>
    <t>Hašek Jan</t>
  </si>
  <si>
    <t>Hlaváč Ondřej</t>
  </si>
  <si>
    <t>6.</t>
  </si>
  <si>
    <t>7.</t>
  </si>
  <si>
    <t>8.</t>
  </si>
  <si>
    <t>Hančová Petra</t>
  </si>
  <si>
    <t>Juniorky - interval startu 10´</t>
  </si>
  <si>
    <t>Dorostenky - interval startu 10´</t>
  </si>
  <si>
    <t>Junioři</t>
  </si>
  <si>
    <t>Předklon (cm)</t>
  </si>
  <si>
    <t>Přednožení L/P</t>
  </si>
  <si>
    <t>Sed roznožný</t>
  </si>
  <si>
    <t>Shyby</t>
  </si>
  <si>
    <t>Desetiskok (m)</t>
  </si>
  <si>
    <t>Medicinbal 3 kg (m)</t>
  </si>
  <si>
    <t>Podpor na předloktích (min)</t>
  </si>
  <si>
    <t>Σ umístění</t>
  </si>
  <si>
    <t>NE/NE</t>
  </si>
  <si>
    <t>NE</t>
  </si>
  <si>
    <t>Dorostenci</t>
  </si>
  <si>
    <t>ANO</t>
  </si>
  <si>
    <t>ANO/ANO</t>
  </si>
  <si>
    <t>NE/ANO</t>
  </si>
  <si>
    <t>Juniorky</t>
  </si>
  <si>
    <t>Dorostenky</t>
  </si>
  <si>
    <t>15"</t>
  </si>
  <si>
    <t>ANO/NE</t>
  </si>
  <si>
    <t>Richtr Lukáš</t>
  </si>
  <si>
    <t>Nagy Josef</t>
  </si>
  <si>
    <t>x</t>
  </si>
  <si>
    <t>Jméno</t>
  </si>
  <si>
    <t>Tokárová Regina</t>
  </si>
  <si>
    <t>Junioři - 7,5 km, 225 m</t>
  </si>
  <si>
    <t>Dorostenci - 5 km, 150 m</t>
  </si>
  <si>
    <t>Juniorky a dorostenky - 5 km, 150 m</t>
  </si>
  <si>
    <t>Neumannová Kateřina</t>
  </si>
  <si>
    <t>Chrástová Tereza</t>
  </si>
  <si>
    <t>Černá Kateřina</t>
  </si>
  <si>
    <t>Hlaváčová Anežka</t>
  </si>
  <si>
    <t>Kuchařová Rozálie</t>
  </si>
  <si>
    <t>Muži - 10 km</t>
  </si>
  <si>
    <t>Ženy - 5 km</t>
  </si>
  <si>
    <t>29"</t>
  </si>
  <si>
    <t>27"</t>
  </si>
  <si>
    <t>8"</t>
  </si>
  <si>
    <t>10"</t>
  </si>
  <si>
    <t>Argaláš Michal</t>
  </si>
  <si>
    <t>Šimková Johanka</t>
  </si>
  <si>
    <t xml:space="preserve">Motorické testy  20.10.2017 </t>
  </si>
  <si>
    <t>Bartoš Vojtěch</t>
  </si>
  <si>
    <t>Cienciala Jan</t>
  </si>
  <si>
    <t>Starý Ondra</t>
  </si>
  <si>
    <t>Peňáz Radek</t>
  </si>
  <si>
    <t>Peňáz Vojtěch</t>
  </si>
  <si>
    <t>Štregl Matyáš</t>
  </si>
  <si>
    <t>Spěváček Vojtěch</t>
  </si>
  <si>
    <t>Tokár Radim</t>
  </si>
  <si>
    <t>Firešová Markéta</t>
  </si>
  <si>
    <t>17"</t>
  </si>
  <si>
    <t>18"</t>
  </si>
  <si>
    <t>36"</t>
  </si>
  <si>
    <t>30"</t>
  </si>
  <si>
    <t>22"</t>
  </si>
  <si>
    <t>34"</t>
  </si>
  <si>
    <t>Karlová Anna</t>
  </si>
  <si>
    <t>44"</t>
  </si>
  <si>
    <t>Výsledková listina - VÝBĚHY  0,6 km 50 m  21.10.2017  Zataženo, bahnitá trať 10 °C</t>
  </si>
  <si>
    <t>Matuš Vojtěch</t>
  </si>
  <si>
    <t>Drobník Michal</t>
  </si>
  <si>
    <t>Starý Ondřej</t>
  </si>
  <si>
    <t xml:space="preserve">Tokárová Regina </t>
  </si>
  <si>
    <t xml:space="preserve">Hlaváčová Anežka </t>
  </si>
  <si>
    <t xml:space="preserve">Černá Kateřina </t>
  </si>
  <si>
    <t xml:space="preserve">Chrástová Tereza </t>
  </si>
  <si>
    <t xml:space="preserve">Kuchařová Rozálie </t>
  </si>
  <si>
    <t xml:space="preserve">Neumannová Kateřina </t>
  </si>
  <si>
    <t>Výsledková listina - SOUPAŽE  1 km 30 m  21.10.2017  zataženo, vlhko 10 °C</t>
  </si>
  <si>
    <t>průměr</t>
  </si>
  <si>
    <t>Výsledková listina - KROS - Břízky, 22.10.2017,  zataženo, mokro 9 °C</t>
  </si>
  <si>
    <r>
      <t xml:space="preserve">průměr 2016 </t>
    </r>
    <r>
      <rPr>
        <b/>
        <sz val="12"/>
        <color indexed="10"/>
        <rFont val="Arial"/>
        <family val="2"/>
      </rPr>
      <t>(2015)</t>
    </r>
  </si>
  <si>
    <r>
      <t xml:space="preserve">průměr 2016 </t>
    </r>
    <r>
      <rPr>
        <b/>
        <sz val="12"/>
        <color indexed="10"/>
        <rFont val="Arial"/>
        <family val="2"/>
      </rPr>
      <t xml:space="preserve">(2015, </t>
    </r>
    <r>
      <rPr>
        <b/>
        <sz val="12"/>
        <color indexed="40"/>
        <rFont val="Arial"/>
        <family val="2"/>
      </rPr>
      <t>2013)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</si>
</sst>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0;[Red]0.00"/>
    <numFmt numFmtId="166" formatCode="[$-409]h:mm:ss\ AM/PM;@"/>
    <numFmt numFmtId="167" formatCode="mm:ss.0;@"/>
    <numFmt numFmtId="168" formatCode="[$-F400]h:mm:ss\ AM/PM"/>
    <numFmt numFmtId="169" formatCode="[h]:mm:ss;@"/>
    <numFmt numFmtId="170" formatCode="hh:mm:ss"/>
    <numFmt numFmtId="171" formatCode="[hh]:mm:ss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40"/>
      <name val="Arial"/>
      <family val="2"/>
    </font>
    <font>
      <sz val="12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6" fillId="32" borderId="1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167" fontId="6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13" xfId="0" applyFont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167" fontId="6" fillId="33" borderId="10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6" fillId="32" borderId="18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6" fillId="32" borderId="22" xfId="0" applyFont="1" applyFill="1" applyBorder="1" applyAlignment="1">
      <alignment/>
    </xf>
    <xf numFmtId="167" fontId="6" fillId="33" borderId="13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167" fontId="6" fillId="0" borderId="18" xfId="0" applyNumberFormat="1" applyFont="1" applyBorder="1" applyAlignment="1">
      <alignment/>
    </xf>
    <xf numFmtId="167" fontId="6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6" fillId="33" borderId="10" xfId="0" applyNumberFormat="1" applyFont="1" applyFill="1" applyBorder="1" applyAlignment="1">
      <alignment horizontal="center"/>
    </xf>
    <xf numFmtId="167" fontId="5" fillId="33" borderId="13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167" fontId="6" fillId="33" borderId="24" xfId="0" applyNumberFormat="1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167" fontId="5" fillId="33" borderId="25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67" fontId="6" fillId="0" borderId="18" xfId="0" applyNumberFormat="1" applyFont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167" fontId="5" fillId="0" borderId="23" xfId="0" applyNumberFormat="1" applyFont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20" fontId="10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20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20" fontId="10" fillId="0" borderId="25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8" fillId="0" borderId="23" xfId="0" applyFont="1" applyBorder="1" applyAlignment="1">
      <alignment horizontal="center"/>
    </xf>
    <xf numFmtId="0" fontId="6" fillId="32" borderId="23" xfId="0" applyFont="1" applyFill="1" applyBorder="1" applyAlignment="1">
      <alignment/>
    </xf>
    <xf numFmtId="167" fontId="6" fillId="0" borderId="13" xfId="0" applyNumberFormat="1" applyFont="1" applyBorder="1" applyAlignment="1">
      <alignment horizontal="center"/>
    </xf>
    <xf numFmtId="167" fontId="6" fillId="0" borderId="13" xfId="0" applyNumberFormat="1" applyFont="1" applyBorder="1" applyAlignment="1">
      <alignment/>
    </xf>
    <xf numFmtId="167" fontId="6" fillId="0" borderId="23" xfId="0" applyNumberFormat="1" applyFont="1" applyBorder="1" applyAlignment="1">
      <alignment/>
    </xf>
    <xf numFmtId="167" fontId="6" fillId="0" borderId="2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7" fontId="6" fillId="33" borderId="13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10" fillId="0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20" fontId="10" fillId="0" borderId="23" xfId="0" applyNumberFormat="1" applyFont="1" applyBorder="1" applyAlignment="1">
      <alignment horizontal="center"/>
    </xf>
    <xf numFmtId="20" fontId="10" fillId="0" borderId="23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167" fontId="6" fillId="0" borderId="0" xfId="0" applyNumberFormat="1" applyFont="1" applyAlignment="1">
      <alignment/>
    </xf>
    <xf numFmtId="167" fontId="0" fillId="0" borderId="0" xfId="0" applyNumberFormat="1" applyAlignment="1">
      <alignment horizontal="center" vertical="center"/>
    </xf>
    <xf numFmtId="167" fontId="6" fillId="33" borderId="13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67" fontId="6" fillId="0" borderId="11" xfId="0" applyNumberFormat="1" applyFont="1" applyBorder="1" applyAlignment="1">
      <alignment/>
    </xf>
    <xf numFmtId="167" fontId="6" fillId="33" borderId="11" xfId="0" applyNumberFormat="1" applyFont="1" applyFill="1" applyBorder="1" applyAlignment="1">
      <alignment horizontal="center"/>
    </xf>
    <xf numFmtId="167" fontId="6" fillId="0" borderId="17" xfId="0" applyNumberFormat="1" applyFont="1" applyBorder="1" applyAlignment="1">
      <alignment/>
    </xf>
    <xf numFmtId="167" fontId="49" fillId="0" borderId="12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49" fillId="0" borderId="13" xfId="0" applyNumberFormat="1" applyFont="1" applyBorder="1" applyAlignment="1">
      <alignment horizontal="center" vertical="center"/>
    </xf>
    <xf numFmtId="167" fontId="6" fillId="0" borderId="23" xfId="0" applyNumberFormat="1" applyFont="1" applyBorder="1" applyAlignment="1">
      <alignment horizontal="center" vertical="center"/>
    </xf>
    <xf numFmtId="0" fontId="5" fillId="33" borderId="3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6" fillId="0" borderId="12" xfId="0" applyNumberFormat="1" applyFont="1" applyBorder="1" applyAlignment="1">
      <alignment horizontal="center"/>
    </xf>
    <xf numFmtId="167" fontId="49" fillId="0" borderId="13" xfId="0" applyNumberFormat="1" applyFont="1" applyBorder="1" applyAlignment="1">
      <alignment horizontal="center"/>
    </xf>
    <xf numFmtId="167" fontId="50" fillId="0" borderId="13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="90" zoomScaleNormal="90" zoomScalePageLayoutView="0" workbookViewId="0" topLeftCell="A9">
      <selection activeCell="P26" sqref="P26"/>
    </sheetView>
  </sheetViews>
  <sheetFormatPr defaultColWidth="9.00390625" defaultRowHeight="12.75"/>
  <cols>
    <col min="1" max="1" width="7.625" style="0" customWidth="1"/>
    <col min="2" max="2" width="30.00390625" style="0" customWidth="1"/>
    <col min="3" max="3" width="13.875" style="0" customWidth="1"/>
    <col min="4" max="4" width="9.00390625" style="0" customWidth="1"/>
    <col min="5" max="7" width="8.625" style="0" customWidth="1"/>
    <col min="8" max="8" width="9.25390625" style="0" customWidth="1"/>
    <col min="9" max="9" width="10.25390625" style="0" customWidth="1"/>
    <col min="11" max="11" width="21.875" style="0" customWidth="1"/>
  </cols>
  <sheetData>
    <row r="1" spans="2:9" ht="25.5" customHeight="1" thickBot="1">
      <c r="B1" s="2" t="s">
        <v>84</v>
      </c>
      <c r="C1" s="11"/>
      <c r="D1" s="11"/>
      <c r="E1" s="11"/>
      <c r="F1" s="11"/>
      <c r="G1" s="11"/>
      <c r="H1" s="11"/>
      <c r="I1" s="11"/>
    </row>
    <row r="2" spans="1:11" ht="16.5" thickBot="1">
      <c r="A2" s="14" t="s">
        <v>4</v>
      </c>
      <c r="B2" s="8" t="s">
        <v>12</v>
      </c>
      <c r="C2" s="22" t="s">
        <v>1</v>
      </c>
      <c r="D2" s="16" t="s">
        <v>6</v>
      </c>
      <c r="E2" s="16" t="s">
        <v>7</v>
      </c>
      <c r="F2" s="16" t="s">
        <v>8</v>
      </c>
      <c r="G2" s="16" t="s">
        <v>9</v>
      </c>
      <c r="H2" s="16" t="s">
        <v>10</v>
      </c>
      <c r="I2" s="17" t="s">
        <v>0</v>
      </c>
      <c r="J2" s="16" t="s">
        <v>95</v>
      </c>
      <c r="K2" s="97" t="s">
        <v>97</v>
      </c>
    </row>
    <row r="3" spans="1:13" ht="15.75">
      <c r="A3" s="12">
        <v>1</v>
      </c>
      <c r="B3" s="3" t="s">
        <v>64</v>
      </c>
      <c r="C3" s="21">
        <v>1993</v>
      </c>
      <c r="D3" s="9">
        <f>TIME(,2,28)</f>
        <v>0.001712962962962963</v>
      </c>
      <c r="E3" s="9">
        <f>TIME(,2,27)</f>
        <v>0.0017013888888888892</v>
      </c>
      <c r="F3" s="9">
        <f>TIME(,2,25)</f>
        <v>0.0016782407407407406</v>
      </c>
      <c r="G3" s="9">
        <f>TIME(,2,25)</f>
        <v>0.0016782407407407406</v>
      </c>
      <c r="H3" s="9">
        <f>TIME(,2,27)</f>
        <v>0.0017013888888888892</v>
      </c>
      <c r="I3" s="31">
        <f aca="true" t="shared" si="0" ref="I3:I8">SUM(D3:H3)</f>
        <v>0.008472222222222223</v>
      </c>
      <c r="J3" s="79">
        <f>I3/5</f>
        <v>0.0016944444444444446</v>
      </c>
      <c r="K3" s="108">
        <v>0.0016064814814814813</v>
      </c>
      <c r="L3" s="107"/>
      <c r="M3" s="107"/>
    </row>
    <row r="4" spans="1:13" ht="15.75">
      <c r="A4" s="12">
        <v>2</v>
      </c>
      <c r="B4" s="3" t="s">
        <v>2</v>
      </c>
      <c r="C4" s="21">
        <v>1994</v>
      </c>
      <c r="D4" s="9">
        <f>TIME(,2,22)</f>
        <v>0.0016435185185185183</v>
      </c>
      <c r="E4" s="9">
        <f>TIME(,2,28)</f>
        <v>0.001712962962962963</v>
      </c>
      <c r="F4" s="9">
        <f>TIME(,2,28)</f>
        <v>0.001712962962962963</v>
      </c>
      <c r="G4" s="9">
        <f>TIME(,2,30)</f>
        <v>0.001736111111111111</v>
      </c>
      <c r="H4" s="9">
        <f>TIME(,2,25)</f>
        <v>0.0016782407407407406</v>
      </c>
      <c r="I4" s="31">
        <f t="shared" si="0"/>
        <v>0.008483796296296295</v>
      </c>
      <c r="J4" s="79">
        <f aca="true" t="shared" si="1" ref="J4:J10">I4/5</f>
        <v>0.001696759259259259</v>
      </c>
      <c r="K4" s="78">
        <v>0.0017685185185185182</v>
      </c>
      <c r="L4" s="107"/>
      <c r="M4" s="107"/>
    </row>
    <row r="5" spans="1:13" ht="15.75">
      <c r="A5" s="12">
        <v>3</v>
      </c>
      <c r="B5" s="3" t="s">
        <v>85</v>
      </c>
      <c r="C5" s="21">
        <v>1996</v>
      </c>
      <c r="D5" s="9">
        <f>TIME(,2,20)</f>
        <v>0.0016203703703703703</v>
      </c>
      <c r="E5" s="9">
        <f>TIME(,2,31)</f>
        <v>0.0017476851851851852</v>
      </c>
      <c r="F5" s="9">
        <f>TIME(,2,36)</f>
        <v>0.0018055555555555557</v>
      </c>
      <c r="G5" s="9">
        <f>TIME(,2,39)</f>
        <v>0.0018402777777777777</v>
      </c>
      <c r="H5" s="9">
        <f>TIME(,2,31)</f>
        <v>0.0017476851851851852</v>
      </c>
      <c r="I5" s="31">
        <f t="shared" si="0"/>
        <v>0.008761574074074074</v>
      </c>
      <c r="J5" s="79">
        <f t="shared" si="1"/>
        <v>0.0017523148148148148</v>
      </c>
      <c r="K5" s="109">
        <v>0.0015624999999999999</v>
      </c>
      <c r="L5" s="107"/>
      <c r="M5" s="107"/>
    </row>
    <row r="6" spans="1:13" ht="15.75">
      <c r="A6" s="12">
        <v>4</v>
      </c>
      <c r="B6" s="3" t="s">
        <v>5</v>
      </c>
      <c r="C6" s="5">
        <v>1988</v>
      </c>
      <c r="D6" s="9">
        <f>TIME(,2,31)</f>
        <v>0.0017476851851851852</v>
      </c>
      <c r="E6" s="9">
        <f>TIME(,2,35)</f>
        <v>0.0017939814814814815</v>
      </c>
      <c r="F6" s="9">
        <f>TIME(,2,31)</f>
        <v>0.0017476851851851852</v>
      </c>
      <c r="G6" s="9">
        <f>TIME(,2,37)</f>
        <v>0.0018171296296296297</v>
      </c>
      <c r="H6" s="9">
        <f>TIME(,2,40)</f>
        <v>0.0018518518518518517</v>
      </c>
      <c r="I6" s="31">
        <f t="shared" si="0"/>
        <v>0.008958333333333334</v>
      </c>
      <c r="J6" s="79">
        <f t="shared" si="1"/>
        <v>0.0017916666666666667</v>
      </c>
      <c r="K6" s="78">
        <v>0.0017777777777777779</v>
      </c>
      <c r="L6" s="107"/>
      <c r="M6" s="107"/>
    </row>
    <row r="7" spans="1:13" ht="15.75">
      <c r="A7" s="12">
        <v>5</v>
      </c>
      <c r="B7" s="3" t="s">
        <v>11</v>
      </c>
      <c r="C7" s="5">
        <v>1982</v>
      </c>
      <c r="D7" s="9">
        <f>TIME(,2,47)</f>
        <v>0.0019328703703703704</v>
      </c>
      <c r="E7" s="9">
        <f>TIME(,2,46)</f>
        <v>0.0019212962962962962</v>
      </c>
      <c r="F7" s="9">
        <f>TIME(,2,43)</f>
        <v>0.0018865740740740742</v>
      </c>
      <c r="G7" s="9">
        <f>TIME(,2,46)</f>
        <v>0.0019212962962962962</v>
      </c>
      <c r="H7" s="9">
        <f>TIME(,2,52)</f>
        <v>0.001990740740740741</v>
      </c>
      <c r="I7" s="31">
        <f t="shared" si="0"/>
        <v>0.009652777777777777</v>
      </c>
      <c r="J7" s="79">
        <f t="shared" si="1"/>
        <v>0.0019305555555555556</v>
      </c>
      <c r="K7" s="78">
        <v>0.0018958333333333334</v>
      </c>
      <c r="L7" s="107"/>
      <c r="M7" s="107"/>
    </row>
    <row r="8" spans="1:13" ht="15.75">
      <c r="A8" s="12">
        <v>6</v>
      </c>
      <c r="B8" s="3" t="s">
        <v>86</v>
      </c>
      <c r="C8" s="21">
        <v>1987</v>
      </c>
      <c r="D8" s="9">
        <f>TIME(,2,41)</f>
        <v>0.0018634259259259261</v>
      </c>
      <c r="E8" s="9">
        <f>TIME(,2,50)</f>
        <v>0.001967592592592593</v>
      </c>
      <c r="F8" s="9">
        <f>TIME(,2,53)</f>
        <v>0.002002314814814815</v>
      </c>
      <c r="G8" s="9">
        <f>TIME(,3,0)</f>
        <v>0.0020833333333333333</v>
      </c>
      <c r="H8" s="9">
        <f>TIME(,3,7)</f>
        <v>0.0021643518518518518</v>
      </c>
      <c r="I8" s="31">
        <f t="shared" si="0"/>
        <v>0.010081018518518519</v>
      </c>
      <c r="J8" s="79">
        <f t="shared" si="1"/>
        <v>0.0020162037037037036</v>
      </c>
      <c r="K8" s="109">
        <v>0.0018680555555555555</v>
      </c>
      <c r="L8" s="107"/>
      <c r="M8" s="107"/>
    </row>
    <row r="9" spans="1:13" ht="15.75">
      <c r="A9" s="13"/>
      <c r="B9" s="4" t="s">
        <v>13</v>
      </c>
      <c r="C9" s="4"/>
      <c r="D9" s="15"/>
      <c r="E9" s="15"/>
      <c r="F9" s="15"/>
      <c r="G9" s="15"/>
      <c r="H9" s="15"/>
      <c r="I9" s="33"/>
      <c r="J9" s="27"/>
      <c r="K9" s="27"/>
      <c r="M9" s="107"/>
    </row>
    <row r="10" spans="1:13" ht="15.75">
      <c r="A10" s="12">
        <v>1</v>
      </c>
      <c r="B10" s="3" t="s">
        <v>3</v>
      </c>
      <c r="C10" s="7">
        <v>1998</v>
      </c>
      <c r="D10" s="9">
        <f>TIME(,2,29)</f>
        <v>0.0017245370370370372</v>
      </c>
      <c r="E10" s="9">
        <f>TIME(,2,30)</f>
        <v>0.001736111111111111</v>
      </c>
      <c r="F10" s="9">
        <f>TIME(,2,34)</f>
        <v>0.0017824074074074072</v>
      </c>
      <c r="G10" s="9">
        <f>TIME(,2,31)</f>
        <v>0.0017476851851851852</v>
      </c>
      <c r="H10" s="26"/>
      <c r="I10" s="31">
        <f aca="true" t="shared" si="2" ref="I10:I16">SUM(D10:H10)</f>
        <v>0.006990740740740741</v>
      </c>
      <c r="J10" s="79">
        <f>I10/4</f>
        <v>0.0017476851851851852</v>
      </c>
      <c r="K10" s="78">
        <v>0.0017708333333333332</v>
      </c>
      <c r="L10" s="107"/>
      <c r="M10" s="107"/>
    </row>
    <row r="11" spans="1:13" ht="15.75">
      <c r="A11" s="12">
        <v>2</v>
      </c>
      <c r="B11" s="3" t="s">
        <v>46</v>
      </c>
      <c r="C11" s="7">
        <v>2000</v>
      </c>
      <c r="D11" s="9">
        <f>TIME(,2,32)</f>
        <v>0.0017592592592592592</v>
      </c>
      <c r="E11" s="9">
        <f>TIME(,2,27)</f>
        <v>0.0017013888888888892</v>
      </c>
      <c r="F11" s="9">
        <f>TIME(,2,33)</f>
        <v>0.0017708333333333332</v>
      </c>
      <c r="G11" s="9">
        <f>TIME(,2,34)</f>
        <v>0.0017824074074074072</v>
      </c>
      <c r="H11" s="26"/>
      <c r="I11" s="31">
        <f t="shared" si="2"/>
        <v>0.007013888888888889</v>
      </c>
      <c r="J11" s="79">
        <f aca="true" t="shared" si="3" ref="J11:J18">I11/4</f>
        <v>0.0017534722222222222</v>
      </c>
      <c r="K11" s="78">
        <v>0.001728395061728395</v>
      </c>
      <c r="L11" s="107"/>
      <c r="M11" s="107"/>
    </row>
    <row r="12" spans="1:13" ht="15.75">
      <c r="A12" s="12">
        <v>3</v>
      </c>
      <c r="B12" s="3" t="s">
        <v>87</v>
      </c>
      <c r="C12" s="7">
        <v>1998</v>
      </c>
      <c r="D12" s="9">
        <f>TIME(,2,39)</f>
        <v>0.0018402777777777777</v>
      </c>
      <c r="E12" s="9">
        <f>TIME(,2,43)</f>
        <v>0.0018865740740740742</v>
      </c>
      <c r="F12" s="9">
        <f>TIME(,2,40)</f>
        <v>0.0018518518518518517</v>
      </c>
      <c r="G12" s="9">
        <f>TIME(,2,51)</f>
        <v>0.001979166666666667</v>
      </c>
      <c r="H12" s="26"/>
      <c r="I12" s="31">
        <f t="shared" si="2"/>
        <v>0.007557870370370371</v>
      </c>
      <c r="J12" s="79">
        <f t="shared" si="3"/>
        <v>0.0018894675925925928</v>
      </c>
      <c r="K12" s="109">
        <v>0.0018778935185185185</v>
      </c>
      <c r="L12" s="107"/>
      <c r="M12" s="107"/>
    </row>
    <row r="13" spans="1:13" ht="15.75">
      <c r="A13" s="12">
        <v>4</v>
      </c>
      <c r="B13" s="3" t="s">
        <v>67</v>
      </c>
      <c r="C13" s="7">
        <v>1998</v>
      </c>
      <c r="D13" s="9">
        <f>TIME(,2,38)</f>
        <v>0.0018287037037037037</v>
      </c>
      <c r="E13" s="9">
        <f>TIME(,2,42)</f>
        <v>0.0018750000000000001</v>
      </c>
      <c r="F13" s="9">
        <f>TIME(,2,46)</f>
        <v>0.0019212962962962962</v>
      </c>
      <c r="G13" s="9">
        <f>TIME(,2,48)</f>
        <v>0.0019444444444444442</v>
      </c>
      <c r="H13" s="26"/>
      <c r="I13" s="31">
        <f t="shared" si="2"/>
        <v>0.007569444444444444</v>
      </c>
      <c r="J13" s="79">
        <f t="shared" si="3"/>
        <v>0.001892361111111111</v>
      </c>
      <c r="K13" s="109">
        <v>0.0017592592592592592</v>
      </c>
      <c r="L13" s="107"/>
      <c r="M13" s="107"/>
    </row>
    <row r="14" spans="1:13" ht="15.75">
      <c r="A14" s="12">
        <v>5</v>
      </c>
      <c r="B14" s="3" t="s">
        <v>18</v>
      </c>
      <c r="C14" s="7">
        <v>2000</v>
      </c>
      <c r="D14" s="9">
        <f>TIME(,2,44)</f>
        <v>0.0018981481481481482</v>
      </c>
      <c r="E14" s="9">
        <f>TIME(,2,50)</f>
        <v>0.001967592592592593</v>
      </c>
      <c r="F14" s="9">
        <f>TIME(,2,54)</f>
        <v>0.002013888888888889</v>
      </c>
      <c r="G14" s="9">
        <f>TIME(,2,48)</f>
        <v>0.0019444444444444442</v>
      </c>
      <c r="H14" s="26"/>
      <c r="I14" s="31">
        <f t="shared" si="2"/>
        <v>0.007824074074074074</v>
      </c>
      <c r="J14" s="79">
        <f t="shared" si="3"/>
        <v>0.0019560185185185184</v>
      </c>
      <c r="K14" s="78">
        <v>0.001736111111111111</v>
      </c>
      <c r="L14" s="107"/>
      <c r="M14" s="107"/>
    </row>
    <row r="15" spans="1:13" ht="15.75">
      <c r="A15" s="12">
        <v>6</v>
      </c>
      <c r="B15" s="3" t="s">
        <v>17</v>
      </c>
      <c r="C15" s="7">
        <v>2000</v>
      </c>
      <c r="D15" s="9">
        <f>TIME(,2,54)</f>
        <v>0.002013888888888889</v>
      </c>
      <c r="E15" s="9">
        <f>TIME(,2,55)</f>
        <v>0.002025462962962963</v>
      </c>
      <c r="F15" s="9">
        <f>TIME(,2,51)</f>
        <v>0.001979166666666667</v>
      </c>
      <c r="G15" s="9">
        <f>TIME(,2,49)</f>
        <v>0.0019560185185185184</v>
      </c>
      <c r="H15" s="26"/>
      <c r="I15" s="31">
        <f t="shared" si="2"/>
        <v>0.007974537037037037</v>
      </c>
      <c r="J15" s="79">
        <f t="shared" si="3"/>
        <v>0.0019936342592592592</v>
      </c>
      <c r="K15" s="78">
        <v>0.0018364197530864196</v>
      </c>
      <c r="L15" s="107"/>
      <c r="M15" s="107"/>
    </row>
    <row r="16" spans="1:13" ht="15.75">
      <c r="A16" s="12">
        <v>7</v>
      </c>
      <c r="B16" s="3" t="s">
        <v>68</v>
      </c>
      <c r="C16" s="7">
        <v>1998</v>
      </c>
      <c r="D16" s="9">
        <f>TIME(,2,42)</f>
        <v>0.0018750000000000001</v>
      </c>
      <c r="E16" s="9">
        <f>TIME(,2,58)</f>
        <v>0.0020601851851851853</v>
      </c>
      <c r="F16" s="9">
        <f>TIME(,2,57)</f>
        <v>0.0020486111111111113</v>
      </c>
      <c r="G16" s="9">
        <f>TIME(,3,7)</f>
        <v>0.0021643518518518518</v>
      </c>
      <c r="H16" s="26"/>
      <c r="I16" s="31">
        <f t="shared" si="2"/>
        <v>0.00814814814814815</v>
      </c>
      <c r="J16" s="79">
        <f t="shared" si="3"/>
        <v>0.0020370370370370373</v>
      </c>
      <c r="K16" s="109">
        <v>0.0020515046296296297</v>
      </c>
      <c r="L16" s="107"/>
      <c r="M16" s="107"/>
    </row>
    <row r="17" spans="1:13" ht="15.75">
      <c r="A17" s="13"/>
      <c r="B17" s="4" t="s">
        <v>14</v>
      </c>
      <c r="C17" s="4"/>
      <c r="D17" s="15"/>
      <c r="E17" s="15"/>
      <c r="F17" s="15"/>
      <c r="G17" s="15"/>
      <c r="H17" s="27"/>
      <c r="I17" s="33"/>
      <c r="J17" s="27"/>
      <c r="K17" s="27"/>
      <c r="M17" s="107"/>
    </row>
    <row r="18" spans="1:13" ht="15.75">
      <c r="A18" s="12">
        <v>1</v>
      </c>
      <c r="B18" s="6" t="s">
        <v>45</v>
      </c>
      <c r="C18" s="5">
        <v>2002</v>
      </c>
      <c r="D18" s="9">
        <f>TIME(,2,35)</f>
        <v>0.0017939814814814815</v>
      </c>
      <c r="E18" s="9">
        <f>TIME(,2,38)</f>
        <v>0.0018287037037037037</v>
      </c>
      <c r="F18" s="9">
        <f>TIME(,2,37)</f>
        <v>0.0018171296296296297</v>
      </c>
      <c r="G18" s="1"/>
      <c r="H18" s="1"/>
      <c r="I18" s="31">
        <f aca="true" t="shared" si="4" ref="I18:I23">SUM(D18:H18)</f>
        <v>0.005439814814814815</v>
      </c>
      <c r="J18" s="79">
        <f>I18/3</f>
        <v>0.0018132716049382715</v>
      </c>
      <c r="K18" s="78">
        <v>0.001882716049382716</v>
      </c>
      <c r="L18" s="107"/>
      <c r="M18" s="107"/>
    </row>
    <row r="19" spans="1:13" ht="15.75">
      <c r="A19" s="12">
        <v>2</v>
      </c>
      <c r="B19" s="6" t="s">
        <v>73</v>
      </c>
      <c r="C19" s="5">
        <v>2002</v>
      </c>
      <c r="D19" s="9">
        <f>TIME(,2,38)</f>
        <v>0.0018287037037037037</v>
      </c>
      <c r="E19" s="9">
        <f>TIME(,2,37)</f>
        <v>0.0018171296296296297</v>
      </c>
      <c r="F19" s="9">
        <f>TIME(,2,46)</f>
        <v>0.0019212962962962962</v>
      </c>
      <c r="G19" s="1"/>
      <c r="H19" s="1"/>
      <c r="I19" s="31">
        <f t="shared" si="4"/>
        <v>0.005567129629629629</v>
      </c>
      <c r="J19" s="79">
        <f aca="true" t="shared" si="5" ref="J19:J34">I19/3</f>
        <v>0.0018557098765432099</v>
      </c>
      <c r="K19" s="78" t="s">
        <v>47</v>
      </c>
      <c r="M19" s="107"/>
    </row>
    <row r="20" spans="1:13" ht="15.75">
      <c r="A20" s="12">
        <v>3</v>
      </c>
      <c r="B20" s="3" t="s">
        <v>72</v>
      </c>
      <c r="C20" s="5">
        <v>2003</v>
      </c>
      <c r="D20" s="9">
        <f>TIME(,2,39)</f>
        <v>0.0018402777777777777</v>
      </c>
      <c r="E20" s="9">
        <f>TIME(,2,43)</f>
        <v>0.0018865740740740742</v>
      </c>
      <c r="F20" s="9">
        <f>TIME(,2,44)</f>
        <v>0.0018981481481481482</v>
      </c>
      <c r="G20" s="1"/>
      <c r="H20" s="1"/>
      <c r="I20" s="31">
        <f t="shared" si="4"/>
        <v>0.005625</v>
      </c>
      <c r="J20" s="79">
        <f t="shared" si="5"/>
        <v>0.001875</v>
      </c>
      <c r="K20" s="78" t="s">
        <v>47</v>
      </c>
      <c r="M20" s="107"/>
    </row>
    <row r="21" spans="1:13" ht="15.75">
      <c r="A21" s="12">
        <v>4</v>
      </c>
      <c r="B21" s="6" t="s">
        <v>74</v>
      </c>
      <c r="C21" s="5">
        <v>2003</v>
      </c>
      <c r="D21" s="9">
        <f>TIME(,2,53)</f>
        <v>0.002002314814814815</v>
      </c>
      <c r="E21" s="9">
        <f>TIME(,2,41)</f>
        <v>0.0018634259259259261</v>
      </c>
      <c r="F21" s="9">
        <f>TIME(,2,40)</f>
        <v>0.0018518518518518517</v>
      </c>
      <c r="G21" s="1"/>
      <c r="H21" s="1"/>
      <c r="I21" s="31">
        <f t="shared" si="4"/>
        <v>0.005717592592592593</v>
      </c>
      <c r="J21" s="79">
        <f t="shared" si="5"/>
        <v>0.0019058641975308642</v>
      </c>
      <c r="K21" s="78" t="s">
        <v>47</v>
      </c>
      <c r="M21" s="107"/>
    </row>
    <row r="22" spans="1:13" ht="15.75">
      <c r="A22" s="12">
        <v>5</v>
      </c>
      <c r="B22" s="6" t="s">
        <v>70</v>
      </c>
      <c r="C22" s="5">
        <v>2003</v>
      </c>
      <c r="D22" s="9">
        <f>TIME(,2,55)</f>
        <v>0.002025462962962963</v>
      </c>
      <c r="E22" s="9">
        <f>TIME(,2,54)</f>
        <v>0.002013888888888889</v>
      </c>
      <c r="F22" s="9">
        <f>TIME(,2,55)</f>
        <v>0.002025462962962963</v>
      </c>
      <c r="G22" s="1"/>
      <c r="H22" s="1"/>
      <c r="I22" s="31">
        <f t="shared" si="4"/>
        <v>0.0060648148148148145</v>
      </c>
      <c r="J22" s="79">
        <f t="shared" si="5"/>
        <v>0.0020216049382716047</v>
      </c>
      <c r="K22" s="78" t="s">
        <v>47</v>
      </c>
      <c r="M22" s="107"/>
    </row>
    <row r="23" spans="1:13" ht="15.75">
      <c r="A23" s="12">
        <v>6</v>
      </c>
      <c r="B23" s="6" t="s">
        <v>71</v>
      </c>
      <c r="C23" s="5">
        <v>2003</v>
      </c>
      <c r="D23" s="9">
        <f>TIME(,2,57)</f>
        <v>0.0020486111111111113</v>
      </c>
      <c r="E23" s="9">
        <f>TIME(,3,4)</f>
        <v>0.0021296296296296298</v>
      </c>
      <c r="F23" s="9">
        <f>TIME(,3,7)</f>
        <v>0.0021643518518518518</v>
      </c>
      <c r="G23" s="1"/>
      <c r="H23" s="1"/>
      <c r="I23" s="31">
        <f t="shared" si="4"/>
        <v>0.006342592592592592</v>
      </c>
      <c r="J23" s="79">
        <f t="shared" si="5"/>
        <v>0.0021141975308641976</v>
      </c>
      <c r="K23" s="78" t="s">
        <v>47</v>
      </c>
      <c r="M23" s="107"/>
    </row>
    <row r="24" spans="1:13" ht="15.75">
      <c r="A24" s="13"/>
      <c r="B24" s="4" t="s">
        <v>15</v>
      </c>
      <c r="C24" s="4"/>
      <c r="D24" s="15"/>
      <c r="E24" s="15"/>
      <c r="F24" s="15"/>
      <c r="G24" s="15"/>
      <c r="H24" s="15"/>
      <c r="I24" s="33"/>
      <c r="J24" s="27"/>
      <c r="K24" s="27"/>
      <c r="M24" s="107"/>
    </row>
    <row r="25" spans="1:13" ht="15.75">
      <c r="A25" s="23">
        <v>1</v>
      </c>
      <c r="B25" s="24" t="s">
        <v>53</v>
      </c>
      <c r="C25" s="25">
        <v>1992</v>
      </c>
      <c r="D25" s="9">
        <f>TIME(,3,14)</f>
        <v>0.0022453703703703702</v>
      </c>
      <c r="E25" s="9">
        <f>TIME(,3,22)</f>
        <v>0.002337962962962963</v>
      </c>
      <c r="F25" s="9">
        <f>TIME(,3,30)</f>
        <v>0.0024305555555555556</v>
      </c>
      <c r="G25" s="1"/>
      <c r="H25" s="1"/>
      <c r="I25" s="31">
        <f>SUM(D25:H25)</f>
        <v>0.007013888888888889</v>
      </c>
      <c r="J25" s="79">
        <f t="shared" si="5"/>
        <v>0.002337962962962963</v>
      </c>
      <c r="K25" s="78">
        <v>0.0023842592592592596</v>
      </c>
      <c r="L25" s="107"/>
      <c r="M25" s="107"/>
    </row>
    <row r="26" spans="1:13" ht="15.75">
      <c r="A26" s="23">
        <v>2</v>
      </c>
      <c r="B26" s="24" t="s">
        <v>23</v>
      </c>
      <c r="C26" s="25">
        <v>1996</v>
      </c>
      <c r="D26" s="9">
        <f>TIME(,3,19)</f>
        <v>0.0023032407407407407</v>
      </c>
      <c r="E26" s="9">
        <f>TIME(,3,40)</f>
        <v>0.002546296296296296</v>
      </c>
      <c r="F26" s="9">
        <f>TIME(,3,46)</f>
        <v>0.002615740740740741</v>
      </c>
      <c r="G26" s="1"/>
      <c r="H26" s="1"/>
      <c r="I26" s="31">
        <f>SUM(D26:H26)</f>
        <v>0.007465277777777777</v>
      </c>
      <c r="J26" s="79">
        <f t="shared" si="5"/>
        <v>0.0024884259259259256</v>
      </c>
      <c r="K26" s="78">
        <v>0.0021604938271604936</v>
      </c>
      <c r="L26" s="107"/>
      <c r="M26" s="107"/>
    </row>
    <row r="27" spans="1:13" ht="15.75">
      <c r="A27" s="13"/>
      <c r="B27" s="4" t="s">
        <v>16</v>
      </c>
      <c r="C27" s="4"/>
      <c r="D27" s="15"/>
      <c r="E27" s="15"/>
      <c r="F27" s="15"/>
      <c r="G27" s="15"/>
      <c r="H27" s="15"/>
      <c r="I27" s="33"/>
      <c r="J27" s="27"/>
      <c r="K27" s="27"/>
      <c r="M27" s="107"/>
    </row>
    <row r="28" spans="1:13" ht="15.75">
      <c r="A28" s="23">
        <v>1</v>
      </c>
      <c r="B28" s="24" t="s">
        <v>82</v>
      </c>
      <c r="C28" s="25">
        <v>2003</v>
      </c>
      <c r="D28" s="9">
        <f>TIME(,2,57)</f>
        <v>0.0020486111111111113</v>
      </c>
      <c r="E28" s="9">
        <f>TIME(,3,1)</f>
        <v>0.0020949074074074073</v>
      </c>
      <c r="F28" s="9">
        <f>TIME(,3,9)</f>
        <v>0.0021874999999999998</v>
      </c>
      <c r="G28" s="1"/>
      <c r="H28" s="1"/>
      <c r="I28" s="31">
        <f>SUM(D28:H28)</f>
        <v>0.006331018518518519</v>
      </c>
      <c r="J28" s="79">
        <f t="shared" si="5"/>
        <v>0.0021103395061728395</v>
      </c>
      <c r="K28" s="78" t="s">
        <v>47</v>
      </c>
      <c r="M28" s="107"/>
    </row>
    <row r="29" spans="1:13" ht="15.75">
      <c r="A29" s="23">
        <v>2</v>
      </c>
      <c r="B29" s="24" t="s">
        <v>57</v>
      </c>
      <c r="C29" s="25">
        <v>2002</v>
      </c>
      <c r="D29" s="9">
        <f>TIME(,2,47)</f>
        <v>0.0019328703703703704</v>
      </c>
      <c r="E29" s="9">
        <f>TIME(,3,8)</f>
        <v>0.0021759259259259258</v>
      </c>
      <c r="F29" s="9">
        <f>TIME(,3,24)</f>
        <v>0.002361111111111111</v>
      </c>
      <c r="G29" s="1"/>
      <c r="H29" s="1"/>
      <c r="I29" s="31">
        <f aca="true" t="shared" si="6" ref="I29:I34">SUM(D29:H29)</f>
        <v>0.006469907407407407</v>
      </c>
      <c r="J29" s="79">
        <f t="shared" si="5"/>
        <v>0.0021566358024691355</v>
      </c>
      <c r="K29" s="78">
        <v>0.0021373456790123456</v>
      </c>
      <c r="L29" s="107"/>
      <c r="M29" s="107"/>
    </row>
    <row r="30" spans="1:13" ht="15.75">
      <c r="A30" s="23">
        <v>3</v>
      </c>
      <c r="B30" s="24" t="s">
        <v>49</v>
      </c>
      <c r="C30" s="25">
        <v>2001</v>
      </c>
      <c r="D30" s="9">
        <f>TIME(,3,16)</f>
        <v>0.0022685185185185182</v>
      </c>
      <c r="E30" s="9">
        <f>TIME(,3,14)</f>
        <v>0.0022453703703703702</v>
      </c>
      <c r="F30" s="9">
        <f>TIME(,3,13)</f>
        <v>0.0022337962962962967</v>
      </c>
      <c r="G30" s="1"/>
      <c r="H30" s="1"/>
      <c r="I30" s="31">
        <f t="shared" si="6"/>
        <v>0.006747685185185185</v>
      </c>
      <c r="J30" s="79">
        <f t="shared" si="5"/>
        <v>0.0022492283950617284</v>
      </c>
      <c r="K30" s="78">
        <v>0.002199074074074074</v>
      </c>
      <c r="L30" s="107"/>
      <c r="M30" s="107"/>
    </row>
    <row r="31" spans="1:13" ht="15.75">
      <c r="A31" s="23">
        <v>4</v>
      </c>
      <c r="B31" s="24" t="s">
        <v>54</v>
      </c>
      <c r="C31" s="25">
        <v>2002</v>
      </c>
      <c r="D31" s="9">
        <f>TIME(,3,0)</f>
        <v>0.0020833333333333333</v>
      </c>
      <c r="E31" s="9">
        <f>TIME(,3,12)</f>
        <v>0.0022222222222222222</v>
      </c>
      <c r="F31" s="9">
        <f>TIME(,3,34)</f>
        <v>0.0024768518518518516</v>
      </c>
      <c r="G31" s="1"/>
      <c r="H31" s="1"/>
      <c r="I31" s="31">
        <f t="shared" si="6"/>
        <v>0.006782407407407407</v>
      </c>
      <c r="J31" s="79">
        <f t="shared" si="5"/>
        <v>0.0022608024691358024</v>
      </c>
      <c r="K31" s="78">
        <v>0.002214506172839506</v>
      </c>
      <c r="L31" s="107"/>
      <c r="M31" s="107"/>
    </row>
    <row r="32" spans="1:13" ht="15.75">
      <c r="A32" s="23">
        <v>4</v>
      </c>
      <c r="B32" s="24" t="s">
        <v>55</v>
      </c>
      <c r="C32" s="25">
        <v>2002</v>
      </c>
      <c r="D32" s="9">
        <f>TIME(,3,5)</f>
        <v>0.0021412037037037038</v>
      </c>
      <c r="E32" s="9">
        <f>TIME(,3,19)</f>
        <v>0.0023032407407407407</v>
      </c>
      <c r="F32" s="9">
        <f>TIME(,3,22)</f>
        <v>0.002337962962962963</v>
      </c>
      <c r="G32" s="1"/>
      <c r="H32" s="1"/>
      <c r="I32" s="31">
        <f t="shared" si="6"/>
        <v>0.006782407407407407</v>
      </c>
      <c r="J32" s="79">
        <f t="shared" si="5"/>
        <v>0.0022608024691358024</v>
      </c>
      <c r="K32" s="78">
        <v>0.0022492283950617284</v>
      </c>
      <c r="L32" s="107"/>
      <c r="M32" s="107"/>
    </row>
    <row r="33" spans="1:13" ht="15.75">
      <c r="A33" s="23">
        <v>6</v>
      </c>
      <c r="B33" s="24" t="s">
        <v>75</v>
      </c>
      <c r="C33" s="25">
        <v>1999</v>
      </c>
      <c r="D33" s="9">
        <f>TIME(,3,11)</f>
        <v>0.0022106481481481478</v>
      </c>
      <c r="E33" s="9">
        <f>TIME(,3,19)</f>
        <v>0.0023032407407407407</v>
      </c>
      <c r="F33" s="9">
        <f>TIME(,3,30)</f>
        <v>0.0024305555555555556</v>
      </c>
      <c r="G33" s="1"/>
      <c r="H33" s="1"/>
      <c r="I33" s="31">
        <f t="shared" si="6"/>
        <v>0.006944444444444444</v>
      </c>
      <c r="J33" s="79">
        <f t="shared" si="5"/>
        <v>0.0023148148148148147</v>
      </c>
      <c r="K33" s="78" t="s">
        <v>47</v>
      </c>
      <c r="M33" s="107"/>
    </row>
    <row r="34" spans="1:13" ht="16.5" thickBot="1">
      <c r="A34" s="76">
        <v>7</v>
      </c>
      <c r="B34" s="18" t="s">
        <v>56</v>
      </c>
      <c r="C34" s="19">
        <v>2001</v>
      </c>
      <c r="D34" s="29">
        <f>TIME(,3,37)</f>
        <v>0.002511574074074074</v>
      </c>
      <c r="E34" s="29">
        <f>TIME(,3,50)</f>
        <v>0.0026620370370370374</v>
      </c>
      <c r="F34" s="29">
        <f>TIME(,3,59)</f>
        <v>0.0027662037037037034</v>
      </c>
      <c r="G34" s="77"/>
      <c r="H34" s="20"/>
      <c r="I34" s="48">
        <f t="shared" si="6"/>
        <v>0.007939814814814814</v>
      </c>
      <c r="J34" s="80">
        <f t="shared" si="5"/>
        <v>0.002646604938271605</v>
      </c>
      <c r="K34" s="81">
        <v>0.0027430555555555554</v>
      </c>
      <c r="L34" s="107"/>
      <c r="M34" s="107"/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P9" sqref="P9"/>
    </sheetView>
  </sheetViews>
  <sheetFormatPr defaultColWidth="9.00390625" defaultRowHeight="12.75"/>
  <cols>
    <col min="2" max="2" width="33.375" style="0" customWidth="1"/>
    <col min="14" max="14" width="22.625" style="95" customWidth="1"/>
  </cols>
  <sheetData>
    <row r="1" spans="2:12" ht="16.5" thickBot="1">
      <c r="B1" s="2" t="s">
        <v>94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4" ht="16.5" thickBot="1">
      <c r="A2" s="14" t="s">
        <v>4</v>
      </c>
      <c r="B2" s="8" t="s">
        <v>12</v>
      </c>
      <c r="C2" s="22" t="s">
        <v>1</v>
      </c>
      <c r="D2" s="16" t="s">
        <v>6</v>
      </c>
      <c r="E2" s="16" t="s">
        <v>7</v>
      </c>
      <c r="F2" s="16" t="s">
        <v>8</v>
      </c>
      <c r="G2" s="16" t="s">
        <v>9</v>
      </c>
      <c r="H2" s="16" t="s">
        <v>10</v>
      </c>
      <c r="I2" s="16" t="s">
        <v>20</v>
      </c>
      <c r="J2" s="16" t="s">
        <v>21</v>
      </c>
      <c r="K2" s="16" t="s">
        <v>22</v>
      </c>
      <c r="L2" s="17" t="s">
        <v>0</v>
      </c>
      <c r="M2" s="16" t="s">
        <v>95</v>
      </c>
      <c r="N2" s="97" t="s">
        <v>97</v>
      </c>
    </row>
    <row r="3" spans="1:24" ht="15.75">
      <c r="A3" s="12">
        <v>1</v>
      </c>
      <c r="B3" s="3" t="s">
        <v>64</v>
      </c>
      <c r="C3" s="5">
        <v>1993</v>
      </c>
      <c r="D3" s="30">
        <f>TIME(,3,6)</f>
        <v>0.0021527777777777778</v>
      </c>
      <c r="E3" s="30">
        <f>TIME(,3,5)</f>
        <v>0.0021412037037037038</v>
      </c>
      <c r="F3" s="30">
        <f>TIME(,3,7)</f>
        <v>0.0021643518518518518</v>
      </c>
      <c r="G3" s="30">
        <f>TIME(,3,3)</f>
        <v>0.0021180555555555553</v>
      </c>
      <c r="H3" s="30">
        <f>TIME(,3,5)</f>
        <v>0.0021412037037037038</v>
      </c>
      <c r="I3" s="30">
        <f>TIME(,3,4)</f>
        <v>0.0021296296296296298</v>
      </c>
      <c r="J3" s="30">
        <f>TIME(,3,7)</f>
        <v>0.0021643518518518518</v>
      </c>
      <c r="K3" s="30">
        <f>TIME(,3,9)</f>
        <v>0.0021874999999999998</v>
      </c>
      <c r="L3" s="31">
        <f aca="true" t="shared" si="0" ref="L3:L8">SUM(D3:K3)</f>
        <v>0.01719907407407407</v>
      </c>
      <c r="M3" s="94">
        <f aca="true" t="shared" si="1" ref="M3:M8">L3/8</f>
        <v>0.002149884259259259</v>
      </c>
      <c r="N3" s="101">
        <v>0.0026244212962962966</v>
      </c>
      <c r="P3" s="74"/>
      <c r="Q3" s="74"/>
      <c r="R3" s="74"/>
      <c r="S3" s="74"/>
      <c r="T3" s="74"/>
      <c r="U3" s="74"/>
      <c r="V3" s="74"/>
      <c r="W3" s="74"/>
      <c r="X3" s="75"/>
    </row>
    <row r="4" spans="1:24" ht="15.75">
      <c r="A4" s="12">
        <v>2</v>
      </c>
      <c r="B4" s="3" t="s">
        <v>2</v>
      </c>
      <c r="C4" s="21">
        <v>1994</v>
      </c>
      <c r="D4" s="30">
        <f>TIME(,3,7)</f>
        <v>0.0021643518518518518</v>
      </c>
      <c r="E4" s="30">
        <f>TIME(,3,8)</f>
        <v>0.0021759259259259258</v>
      </c>
      <c r="F4" s="30">
        <f>TIME(,3,8)</f>
        <v>0.0021759259259259258</v>
      </c>
      <c r="G4" s="30">
        <f>TIME(,3,6)</f>
        <v>0.0021527777777777778</v>
      </c>
      <c r="H4" s="30">
        <f>TIME(,3,7)</f>
        <v>0.0021643518518518518</v>
      </c>
      <c r="I4" s="30">
        <f>TIME(,3,11)</f>
        <v>0.0022106481481481478</v>
      </c>
      <c r="J4" s="30">
        <f>TIME(,3,10)</f>
        <v>0.002199074074074074</v>
      </c>
      <c r="K4" s="30">
        <f>TIME(,3,13)</f>
        <v>0.0022337962962962967</v>
      </c>
      <c r="L4" s="31">
        <f t="shared" si="0"/>
        <v>0.01747685185185185</v>
      </c>
      <c r="M4" s="98">
        <f t="shared" si="1"/>
        <v>0.0021846064814814814</v>
      </c>
      <c r="N4" s="102">
        <v>0.0022757523148148147</v>
      </c>
      <c r="P4" s="74"/>
      <c r="Q4" s="74"/>
      <c r="R4" s="74"/>
      <c r="S4" s="74"/>
      <c r="T4" s="74"/>
      <c r="U4" s="74"/>
      <c r="V4" s="74"/>
      <c r="W4" s="74"/>
      <c r="X4" s="75"/>
    </row>
    <row r="5" spans="1:24" ht="15.75">
      <c r="A5" s="12">
        <v>3</v>
      </c>
      <c r="B5" s="3" t="s">
        <v>5</v>
      </c>
      <c r="C5" s="21">
        <v>1988</v>
      </c>
      <c r="D5" s="30">
        <f>TIME(,3,18)</f>
        <v>0.0022916666666666667</v>
      </c>
      <c r="E5" s="30">
        <f>TIME(,3,17)</f>
        <v>0.0022800925925925927</v>
      </c>
      <c r="F5" s="30">
        <f>TIME(,3,17)</f>
        <v>0.0022800925925925927</v>
      </c>
      <c r="G5" s="30">
        <f>TIME(,3,19)</f>
        <v>0.0023032407407407407</v>
      </c>
      <c r="H5" s="30">
        <f>TIME(,3,22)</f>
        <v>0.002337962962962963</v>
      </c>
      <c r="I5" s="30">
        <f>TIME(,3,22)</f>
        <v>0.002337962962962963</v>
      </c>
      <c r="J5" s="30">
        <f>TIME(,3,27)</f>
        <v>0.0023958333333333336</v>
      </c>
      <c r="K5" s="30">
        <f>TIME(,3,28)</f>
        <v>0.0024074074074074076</v>
      </c>
      <c r="L5" s="31">
        <f t="shared" si="0"/>
        <v>0.01863425925925926</v>
      </c>
      <c r="M5" s="98">
        <f t="shared" si="1"/>
        <v>0.0023292824074074075</v>
      </c>
      <c r="N5" s="102">
        <v>0.0023972800925925928</v>
      </c>
      <c r="P5" s="74"/>
      <c r="Q5" s="74"/>
      <c r="R5" s="74"/>
      <c r="S5" s="74"/>
      <c r="T5" s="74"/>
      <c r="U5" s="74"/>
      <c r="V5" s="74"/>
      <c r="W5" s="74"/>
      <c r="X5" s="75"/>
    </row>
    <row r="6" spans="1:24" ht="15.75">
      <c r="A6" s="12">
        <v>4</v>
      </c>
      <c r="B6" s="3" t="s">
        <v>11</v>
      </c>
      <c r="C6" s="21">
        <v>1982</v>
      </c>
      <c r="D6" s="30">
        <f>TIME(,3,30)</f>
        <v>0.0024305555555555556</v>
      </c>
      <c r="E6" s="30">
        <f>TIME(,3,29)</f>
        <v>0.0024189814814814816</v>
      </c>
      <c r="F6" s="30">
        <f>TIME(,3,31)</f>
        <v>0.0024421296296296296</v>
      </c>
      <c r="G6" s="30">
        <f>TIME(,3,33)</f>
        <v>0.0024652777777777776</v>
      </c>
      <c r="H6" s="30">
        <f>TIME(,3,32)</f>
        <v>0.0024537037037037036</v>
      </c>
      <c r="I6" s="30">
        <f>TIME(,3,42)</f>
        <v>0.0025694444444444445</v>
      </c>
      <c r="J6" s="30">
        <f>TIME(,3,39)</f>
        <v>0.002534722222222222</v>
      </c>
      <c r="K6" s="30">
        <f>TIME(,3,40)</f>
        <v>0.002546296296296296</v>
      </c>
      <c r="L6" s="31">
        <f t="shared" si="0"/>
        <v>0.01986111111111111</v>
      </c>
      <c r="M6" s="98">
        <f t="shared" si="1"/>
        <v>0.002482638888888889</v>
      </c>
      <c r="N6" s="102">
        <v>0.0026215277777777777</v>
      </c>
      <c r="P6" s="74"/>
      <c r="Q6" s="74"/>
      <c r="R6" s="74"/>
      <c r="S6" s="74"/>
      <c r="T6" s="74"/>
      <c r="U6" s="74"/>
      <c r="V6" s="74"/>
      <c r="W6" s="74"/>
      <c r="X6" s="75"/>
    </row>
    <row r="7" spans="1:24" ht="15.75">
      <c r="A7" s="12">
        <v>5</v>
      </c>
      <c r="B7" s="3" t="s">
        <v>85</v>
      </c>
      <c r="C7" s="21">
        <v>1996</v>
      </c>
      <c r="D7" s="30">
        <f>TIME(,3,17)</f>
        <v>0.0022800925925925927</v>
      </c>
      <c r="E7" s="30">
        <f>TIME(,3,25)</f>
        <v>0.002372685185185185</v>
      </c>
      <c r="F7" s="30">
        <f>TIME(,3,27)</f>
        <v>0.0023958333333333336</v>
      </c>
      <c r="G7" s="30">
        <f>TIME(,3,29)</f>
        <v>0.0024189814814814816</v>
      </c>
      <c r="H7" s="30">
        <f>TIME(,3,35)</f>
        <v>0.002488425925925926</v>
      </c>
      <c r="I7" s="30">
        <f>TIME(,3,43)</f>
        <v>0.0025810185185185185</v>
      </c>
      <c r="J7" s="30">
        <f>TIME(,3,53)</f>
        <v>0.0026967592592592594</v>
      </c>
      <c r="K7" s="30">
        <f>TIME(,4,0)</f>
        <v>0.002777777777777778</v>
      </c>
      <c r="L7" s="31">
        <f t="shared" si="0"/>
        <v>0.020011574074074074</v>
      </c>
      <c r="M7" s="98">
        <f t="shared" si="1"/>
        <v>0.0025014467592592592</v>
      </c>
      <c r="N7" s="103">
        <v>0.0023912037037037035</v>
      </c>
      <c r="P7" s="74"/>
      <c r="Q7" s="74"/>
      <c r="R7" s="74"/>
      <c r="S7" s="74"/>
      <c r="T7" s="74"/>
      <c r="U7" s="74"/>
      <c r="V7" s="74"/>
      <c r="W7" s="74"/>
      <c r="X7" s="75"/>
    </row>
    <row r="8" spans="1:24" ht="15.75">
      <c r="A8" s="12">
        <v>6</v>
      </c>
      <c r="B8" s="3" t="s">
        <v>86</v>
      </c>
      <c r="C8" s="10">
        <v>1987</v>
      </c>
      <c r="D8" s="30">
        <f>TIME(,3,27)</f>
        <v>0.0023958333333333336</v>
      </c>
      <c r="E8" s="30">
        <f>TIME(,3,37)</f>
        <v>0.002511574074074074</v>
      </c>
      <c r="F8" s="30">
        <f>TIME(,3,40)</f>
        <v>0.002546296296296296</v>
      </c>
      <c r="G8" s="30">
        <f>TIME(,3,46)</f>
        <v>0.002615740740740741</v>
      </c>
      <c r="H8" s="30">
        <f>TIME(,3,47)</f>
        <v>0.002627314814814815</v>
      </c>
      <c r="I8" s="30">
        <f>TIME(,3,49)</f>
        <v>0.0026504629629629625</v>
      </c>
      <c r="J8" s="30">
        <f>TIME(,3,50)</f>
        <v>0.0026620370370370374</v>
      </c>
      <c r="K8" s="30">
        <f>TIME(,3,50)</f>
        <v>0.0026620370370370374</v>
      </c>
      <c r="L8" s="31">
        <f t="shared" si="0"/>
        <v>0.0206712962962963</v>
      </c>
      <c r="M8" s="98">
        <f t="shared" si="1"/>
        <v>0.0025839120370370373</v>
      </c>
      <c r="N8" s="103">
        <v>0.002722800925925926</v>
      </c>
      <c r="P8" s="74"/>
      <c r="Q8" s="74"/>
      <c r="R8" s="74"/>
      <c r="S8" s="74"/>
      <c r="T8" s="74"/>
      <c r="U8" s="74"/>
      <c r="V8" s="74"/>
      <c r="W8" s="74"/>
      <c r="X8" s="75"/>
    </row>
    <row r="9" spans="1:24" ht="15.75">
      <c r="A9" s="13"/>
      <c r="B9" s="4" t="s">
        <v>13</v>
      </c>
      <c r="C9" s="4"/>
      <c r="D9" s="32"/>
      <c r="E9" s="32"/>
      <c r="F9" s="32"/>
      <c r="G9" s="32"/>
      <c r="H9" s="32"/>
      <c r="I9" s="32"/>
      <c r="J9" s="32"/>
      <c r="K9" s="32"/>
      <c r="L9" s="33"/>
      <c r="M9" s="99"/>
      <c r="N9" s="96"/>
      <c r="V9" s="74"/>
      <c r="W9" s="74"/>
      <c r="X9" s="75"/>
    </row>
    <row r="10" spans="1:23" ht="15.75">
      <c r="A10" s="12">
        <v>1</v>
      </c>
      <c r="B10" s="3" t="s">
        <v>18</v>
      </c>
      <c r="C10" s="7">
        <v>2000</v>
      </c>
      <c r="D10" s="30">
        <f>TIME(,3,14)</f>
        <v>0.0022453703703703702</v>
      </c>
      <c r="E10" s="30">
        <f>TIME(,3,27)</f>
        <v>0.0023958333333333336</v>
      </c>
      <c r="F10" s="30">
        <f>TIME(,3,17)</f>
        <v>0.0022800925925925927</v>
      </c>
      <c r="G10" s="30">
        <f>TIME(,3,17)</f>
        <v>0.0022800925925925927</v>
      </c>
      <c r="H10" s="30">
        <f>TIME(,3,18)</f>
        <v>0.0022916666666666667</v>
      </c>
      <c r="I10" s="34"/>
      <c r="J10" s="34"/>
      <c r="K10" s="35"/>
      <c r="L10" s="31">
        <f aca="true" t="shared" si="2" ref="L10:L17">SUM(D10:K10)</f>
        <v>0.011493055555555555</v>
      </c>
      <c r="M10" s="98">
        <f aca="true" t="shared" si="3" ref="M10:M17">L10/5</f>
        <v>0.002298611111111111</v>
      </c>
      <c r="N10" s="102">
        <v>0.0023177083333333335</v>
      </c>
      <c r="Q10" s="74"/>
      <c r="R10" s="74"/>
      <c r="S10" s="74"/>
      <c r="T10" s="74"/>
      <c r="U10" s="74"/>
      <c r="W10" s="74"/>
    </row>
    <row r="11" spans="1:23" ht="15.75">
      <c r="A11" s="12">
        <v>2</v>
      </c>
      <c r="B11" s="3" t="s">
        <v>67</v>
      </c>
      <c r="C11" s="7">
        <v>1998</v>
      </c>
      <c r="D11" s="30">
        <f>TIME(,3,31)</f>
        <v>0.0024421296296296296</v>
      </c>
      <c r="E11" s="30">
        <f>TIME(,3,35)</f>
        <v>0.002488425925925926</v>
      </c>
      <c r="F11" s="30">
        <f>TIME(,3,34)</f>
        <v>0.0024768518518518516</v>
      </c>
      <c r="G11" s="30">
        <f>TIME(,3,37)</f>
        <v>0.002511574074074074</v>
      </c>
      <c r="H11" s="30">
        <f>TIME(,3,39)</f>
        <v>0.002534722222222222</v>
      </c>
      <c r="I11" s="34"/>
      <c r="J11" s="34"/>
      <c r="K11" s="35"/>
      <c r="L11" s="31">
        <f t="shared" si="2"/>
        <v>0.012453703703703703</v>
      </c>
      <c r="M11" s="98">
        <f t="shared" si="3"/>
        <v>0.0024907407407407404</v>
      </c>
      <c r="N11" s="103">
        <v>0.0022430555555555554</v>
      </c>
      <c r="Q11" s="74"/>
      <c r="R11" s="74"/>
      <c r="S11" s="74"/>
      <c r="T11" s="74"/>
      <c r="U11" s="74"/>
      <c r="W11" s="74"/>
    </row>
    <row r="12" spans="1:23" ht="15.75">
      <c r="A12" s="12">
        <v>3</v>
      </c>
      <c r="B12" s="3" t="s">
        <v>3</v>
      </c>
      <c r="C12" s="7">
        <v>1998</v>
      </c>
      <c r="D12" s="30">
        <f>TIME(,3,28)</f>
        <v>0.0024074074074074076</v>
      </c>
      <c r="E12" s="30">
        <f>TIME(,3,33)</f>
        <v>0.0024652777777777776</v>
      </c>
      <c r="F12" s="30">
        <f>TIME(,3,38)</f>
        <v>0.002523148148148148</v>
      </c>
      <c r="G12" s="30">
        <f>TIME(,3,41)</f>
        <v>0.0025578703703703705</v>
      </c>
      <c r="H12" s="30">
        <f>TIME(,3,54)</f>
        <v>0.0027083333333333334</v>
      </c>
      <c r="I12" s="34"/>
      <c r="J12" s="34"/>
      <c r="K12" s="35"/>
      <c r="L12" s="31">
        <f t="shared" si="2"/>
        <v>0.012662037037037036</v>
      </c>
      <c r="M12" s="98">
        <f t="shared" si="3"/>
        <v>0.0025324074074074073</v>
      </c>
      <c r="N12" s="102">
        <v>0.0025833333333333333</v>
      </c>
      <c r="Q12" s="74"/>
      <c r="R12" s="74"/>
      <c r="S12" s="74"/>
      <c r="T12" s="74"/>
      <c r="U12" s="74"/>
      <c r="W12" s="74"/>
    </row>
    <row r="13" spans="1:23" ht="15.75">
      <c r="A13" s="12">
        <v>4</v>
      </c>
      <c r="B13" s="3" t="s">
        <v>19</v>
      </c>
      <c r="C13" s="7">
        <v>1999</v>
      </c>
      <c r="D13" s="30">
        <f>TIME(,3,42)</f>
        <v>0.0025694444444444445</v>
      </c>
      <c r="E13" s="30">
        <f>TIME(,3,42)</f>
        <v>0.0025694444444444445</v>
      </c>
      <c r="F13" s="30">
        <f>TIME(,3,45)</f>
        <v>0.0026041666666666665</v>
      </c>
      <c r="G13" s="30">
        <f>TIME(,3,44)</f>
        <v>0.0025925925925925925</v>
      </c>
      <c r="H13" s="30">
        <f>TIME(,3,39)</f>
        <v>0.002534722222222222</v>
      </c>
      <c r="I13" s="34"/>
      <c r="J13" s="34"/>
      <c r="K13" s="35"/>
      <c r="L13" s="31">
        <f t="shared" si="2"/>
        <v>0.012870370370370369</v>
      </c>
      <c r="M13" s="98">
        <f t="shared" si="3"/>
        <v>0.0025740740740740737</v>
      </c>
      <c r="N13" s="102">
        <v>0.0025023148148148144</v>
      </c>
      <c r="Q13" s="74"/>
      <c r="R13" s="74"/>
      <c r="S13" s="74"/>
      <c r="T13" s="74"/>
      <c r="U13" s="74"/>
      <c r="W13" s="74"/>
    </row>
    <row r="14" spans="1:23" ht="15.75">
      <c r="A14" s="12">
        <v>5</v>
      </c>
      <c r="B14" s="3" t="s">
        <v>87</v>
      </c>
      <c r="C14" s="7">
        <v>1998</v>
      </c>
      <c r="D14" s="30">
        <f>TIME(,3,38)</f>
        <v>0.002523148148148148</v>
      </c>
      <c r="E14" s="30">
        <f>TIME(,3,38)</f>
        <v>0.002523148148148148</v>
      </c>
      <c r="F14" s="30">
        <f>TIME(,3,43)</f>
        <v>0.0025810185185185185</v>
      </c>
      <c r="G14" s="30">
        <f>TIME(,3,50)</f>
        <v>0.0026620370370370374</v>
      </c>
      <c r="H14" s="30">
        <f>TIME(,3,46)</f>
        <v>0.002615740740740741</v>
      </c>
      <c r="I14" s="34"/>
      <c r="J14" s="34"/>
      <c r="K14" s="35"/>
      <c r="L14" s="31">
        <f t="shared" si="2"/>
        <v>0.012905092592592593</v>
      </c>
      <c r="M14" s="98">
        <f t="shared" si="3"/>
        <v>0.0025810185185185185</v>
      </c>
      <c r="N14" s="103">
        <v>0.0024351851851851856</v>
      </c>
      <c r="Q14" s="74"/>
      <c r="R14" s="74"/>
      <c r="S14" s="74"/>
      <c r="T14" s="74"/>
      <c r="U14" s="74"/>
      <c r="W14" s="74"/>
    </row>
    <row r="15" spans="1:23" ht="15.75">
      <c r="A15" s="12">
        <v>6</v>
      </c>
      <c r="B15" s="3" t="s">
        <v>46</v>
      </c>
      <c r="C15" s="7">
        <v>2000</v>
      </c>
      <c r="D15" s="30">
        <f>TIME(,3,34)</f>
        <v>0.0024768518518518516</v>
      </c>
      <c r="E15" s="30">
        <f>TIME(,3,32)</f>
        <v>0.0024537037037037036</v>
      </c>
      <c r="F15" s="30">
        <f>TIME(,3,39)</f>
        <v>0.002534722222222222</v>
      </c>
      <c r="G15" s="30">
        <f>TIME(,3,51)</f>
        <v>0.002673611111111111</v>
      </c>
      <c r="H15" s="30">
        <f>TIME(,4,4)</f>
        <v>0.002824074074074074</v>
      </c>
      <c r="I15" s="34"/>
      <c r="J15" s="34"/>
      <c r="K15" s="35"/>
      <c r="L15" s="31">
        <f t="shared" si="2"/>
        <v>0.012962962962962963</v>
      </c>
      <c r="M15" s="98">
        <f t="shared" si="3"/>
        <v>0.0025925925925925925</v>
      </c>
      <c r="N15" s="102">
        <v>0.0026620370370370374</v>
      </c>
      <c r="Q15" s="74"/>
      <c r="R15" s="74"/>
      <c r="S15" s="74"/>
      <c r="T15" s="74"/>
      <c r="U15" s="74"/>
      <c r="W15" s="74"/>
    </row>
    <row r="16" spans="1:23" ht="15.75">
      <c r="A16" s="12">
        <v>7</v>
      </c>
      <c r="B16" s="3" t="s">
        <v>17</v>
      </c>
      <c r="C16" s="7">
        <v>2000</v>
      </c>
      <c r="D16" s="30">
        <f>TIME(,3,47)</f>
        <v>0.002627314814814815</v>
      </c>
      <c r="E16" s="30">
        <f>TIME(,3,50)</f>
        <v>0.0026620370370370374</v>
      </c>
      <c r="F16" s="30">
        <f>TIME(,3,51)</f>
        <v>0.002673611111111111</v>
      </c>
      <c r="G16" s="30">
        <f>TIME(,3,57)</f>
        <v>0.002743055555555556</v>
      </c>
      <c r="H16" s="30">
        <f>TIME(,4,10)</f>
        <v>0.002893518518518519</v>
      </c>
      <c r="I16" s="34"/>
      <c r="J16" s="34"/>
      <c r="K16" s="35"/>
      <c r="L16" s="31">
        <f t="shared" si="2"/>
        <v>0.013599537037037038</v>
      </c>
      <c r="M16" s="98">
        <f t="shared" si="3"/>
        <v>0.002719907407407408</v>
      </c>
      <c r="N16" s="102">
        <v>0.002607060185185185</v>
      </c>
      <c r="Q16" s="74"/>
      <c r="R16" s="74"/>
      <c r="S16" s="74"/>
      <c r="T16" s="74"/>
      <c r="U16" s="74"/>
      <c r="W16" s="74"/>
    </row>
    <row r="17" spans="1:23" ht="15.75">
      <c r="A17" s="12">
        <v>8</v>
      </c>
      <c r="B17" s="3" t="s">
        <v>68</v>
      </c>
      <c r="C17" s="7">
        <v>1998</v>
      </c>
      <c r="D17" s="30">
        <f>TIME(,4,10)</f>
        <v>0.002893518518518519</v>
      </c>
      <c r="E17" s="30">
        <f>TIME(,4,26)</f>
        <v>0.0030787037037037037</v>
      </c>
      <c r="F17" s="30">
        <f>TIME(,4,30)</f>
        <v>0.0031249999999999997</v>
      </c>
      <c r="G17" s="30">
        <f>TIME(,4,40)</f>
        <v>0.0032407407407407406</v>
      </c>
      <c r="H17" s="30">
        <f>TIME(,4,34)</f>
        <v>0.0031712962962962958</v>
      </c>
      <c r="I17" s="34"/>
      <c r="J17" s="34"/>
      <c r="K17" s="36"/>
      <c r="L17" s="31">
        <f t="shared" si="2"/>
        <v>0.015509259259259257</v>
      </c>
      <c r="M17" s="98">
        <f t="shared" si="3"/>
        <v>0.0031018518518518513</v>
      </c>
      <c r="N17" s="103">
        <v>0.0030694444444444445</v>
      </c>
      <c r="Q17" s="74"/>
      <c r="R17" s="74"/>
      <c r="S17" s="74"/>
      <c r="T17" s="74"/>
      <c r="U17" s="74"/>
      <c r="W17" s="74"/>
    </row>
    <row r="18" spans="1:14" ht="15.75">
      <c r="A18" s="13"/>
      <c r="B18" s="4" t="s">
        <v>14</v>
      </c>
      <c r="C18" s="4"/>
      <c r="D18" s="32"/>
      <c r="E18" s="32"/>
      <c r="F18" s="32"/>
      <c r="G18" s="32"/>
      <c r="H18" s="37"/>
      <c r="I18" s="37"/>
      <c r="J18" s="37"/>
      <c r="K18" s="37"/>
      <c r="L18" s="33"/>
      <c r="M18" s="99"/>
      <c r="N18" s="96"/>
    </row>
    <row r="19" spans="1:14" ht="15.75">
      <c r="A19" s="12">
        <v>1</v>
      </c>
      <c r="B19" s="6" t="s">
        <v>45</v>
      </c>
      <c r="C19" s="5">
        <v>2002</v>
      </c>
      <c r="D19" s="30">
        <f>TIME(,3,33)</f>
        <v>0.0024652777777777776</v>
      </c>
      <c r="E19" s="30">
        <f>TIME(,3,34)</f>
        <v>0.0024768518518518516</v>
      </c>
      <c r="F19" s="30">
        <f>TIME(,3,38)</f>
        <v>0.002523148148148148</v>
      </c>
      <c r="G19" s="30">
        <f>TIME(,3,33)</f>
        <v>0.0024652777777777776</v>
      </c>
      <c r="H19" s="34"/>
      <c r="I19" s="34"/>
      <c r="J19" s="34"/>
      <c r="K19" s="34"/>
      <c r="L19" s="31">
        <f aca="true" t="shared" si="4" ref="L19:L24">SUM(D19:K19)</f>
        <v>0.009930555555555555</v>
      </c>
      <c r="M19" s="98">
        <f aca="true" t="shared" si="5" ref="M19:M24">L19/4</f>
        <v>0.002482638888888889</v>
      </c>
      <c r="N19" s="102">
        <v>0.0027083333333333334</v>
      </c>
    </row>
    <row r="20" spans="1:21" ht="15.75">
      <c r="A20" s="12">
        <v>2</v>
      </c>
      <c r="B20" s="6" t="s">
        <v>70</v>
      </c>
      <c r="C20" s="5">
        <v>2003</v>
      </c>
      <c r="D20" s="30">
        <f>TIME(,3,47)</f>
        <v>0.002627314814814815</v>
      </c>
      <c r="E20" s="30">
        <f>TIME(,3,47)</f>
        <v>0.002627314814814815</v>
      </c>
      <c r="F20" s="30">
        <f>TIME(,3,42)</f>
        <v>0.0025694444444444445</v>
      </c>
      <c r="G20" s="30">
        <f>TIME(,3,42)</f>
        <v>0.0025694444444444445</v>
      </c>
      <c r="H20" s="34"/>
      <c r="I20" s="34"/>
      <c r="J20" s="34"/>
      <c r="K20" s="34"/>
      <c r="L20" s="31">
        <f t="shared" si="4"/>
        <v>0.010393518518518517</v>
      </c>
      <c r="M20" s="98">
        <f t="shared" si="5"/>
        <v>0.0025983796296296293</v>
      </c>
      <c r="N20" s="102" t="s">
        <v>47</v>
      </c>
      <c r="Q20" s="74"/>
      <c r="R20" s="74"/>
      <c r="S20" s="74"/>
      <c r="T20" s="74"/>
      <c r="U20" s="75"/>
    </row>
    <row r="21" spans="1:14" ht="15.75">
      <c r="A21" s="12">
        <v>3</v>
      </c>
      <c r="B21" s="6" t="s">
        <v>71</v>
      </c>
      <c r="C21" s="5">
        <v>2003</v>
      </c>
      <c r="D21" s="30">
        <f>TIME(,3,58)</f>
        <v>0.0027546296296296294</v>
      </c>
      <c r="E21" s="30">
        <f>TIME(,3,58)</f>
        <v>0.0027546296296296294</v>
      </c>
      <c r="F21" s="30">
        <f>TIME(,3,58)</f>
        <v>0.0027546296296296294</v>
      </c>
      <c r="G21" s="30">
        <f>TIME(,3,52)</f>
        <v>0.002685185185185185</v>
      </c>
      <c r="H21" s="34"/>
      <c r="I21" s="34"/>
      <c r="J21" s="34"/>
      <c r="K21" s="34"/>
      <c r="L21" s="31">
        <f t="shared" si="4"/>
        <v>0.010949074074074073</v>
      </c>
      <c r="M21" s="98">
        <f t="shared" si="5"/>
        <v>0.0027372685185185182</v>
      </c>
      <c r="N21" s="102" t="s">
        <v>47</v>
      </c>
    </row>
    <row r="22" spans="1:21" ht="15.75">
      <c r="A22" s="12">
        <v>4</v>
      </c>
      <c r="B22" s="6" t="s">
        <v>73</v>
      </c>
      <c r="C22" s="5">
        <v>2002</v>
      </c>
      <c r="D22" s="30">
        <f>TIME(,4,3)</f>
        <v>0.0028124999999999995</v>
      </c>
      <c r="E22" s="30">
        <f>TIME(,4,8)</f>
        <v>0.002870370370370371</v>
      </c>
      <c r="F22" s="30">
        <f>TIME(,4,12)</f>
        <v>0.002916666666666667</v>
      </c>
      <c r="G22" s="30">
        <f>TIME(,4,18)</f>
        <v>0.0029861111111111113</v>
      </c>
      <c r="H22" s="34"/>
      <c r="I22" s="34"/>
      <c r="J22" s="34"/>
      <c r="K22" s="34"/>
      <c r="L22" s="31">
        <f t="shared" si="4"/>
        <v>0.011585648148148149</v>
      </c>
      <c r="M22" s="98">
        <f t="shared" si="5"/>
        <v>0.002896412037037037</v>
      </c>
      <c r="N22" s="102" t="s">
        <v>47</v>
      </c>
      <c r="Q22" s="74"/>
      <c r="R22" s="74"/>
      <c r="S22" s="74"/>
      <c r="T22" s="74"/>
      <c r="U22" s="74"/>
    </row>
    <row r="23" spans="1:21" ht="15.75">
      <c r="A23" s="12">
        <v>5</v>
      </c>
      <c r="B23" s="3" t="s">
        <v>72</v>
      </c>
      <c r="C23" s="5">
        <v>2003</v>
      </c>
      <c r="D23" s="30">
        <f>TIME(,4,49)</f>
        <v>0.003344907407407407</v>
      </c>
      <c r="E23" s="30">
        <f>TIME(,4,50)</f>
        <v>0.003356481481481481</v>
      </c>
      <c r="F23" s="30">
        <f>TIME(,4,49)</f>
        <v>0.003344907407407407</v>
      </c>
      <c r="G23" s="30">
        <f>TIME(,5,0)</f>
        <v>0.003472222222222222</v>
      </c>
      <c r="H23" s="34"/>
      <c r="I23" s="34"/>
      <c r="J23" s="34"/>
      <c r="K23" s="34"/>
      <c r="L23" s="31">
        <f t="shared" si="4"/>
        <v>0.013518518518518518</v>
      </c>
      <c r="M23" s="98">
        <f t="shared" si="5"/>
        <v>0.0033796296296296296</v>
      </c>
      <c r="N23" s="102" t="s">
        <v>47</v>
      </c>
      <c r="Q23" s="74"/>
      <c r="R23" s="74"/>
      <c r="S23" s="74"/>
      <c r="T23" s="74"/>
      <c r="U23" s="74"/>
    </row>
    <row r="24" spans="1:21" ht="15.75">
      <c r="A24" s="12">
        <v>6</v>
      </c>
      <c r="B24" s="6" t="s">
        <v>74</v>
      </c>
      <c r="C24" s="5">
        <v>2003</v>
      </c>
      <c r="D24" s="30">
        <f>TIME(,4,46)</f>
        <v>0.003310185185185185</v>
      </c>
      <c r="E24" s="30">
        <f>TIME(,4,47)</f>
        <v>0.003321759259259259</v>
      </c>
      <c r="F24" s="30">
        <f>TIME(,5,1)</f>
        <v>0.003483796296296296</v>
      </c>
      <c r="G24" s="30">
        <f>TIME(,5,12)</f>
        <v>0.0036111111111111114</v>
      </c>
      <c r="H24" s="34"/>
      <c r="I24" s="34"/>
      <c r="J24" s="34"/>
      <c r="K24" s="34"/>
      <c r="L24" s="31">
        <f t="shared" si="4"/>
        <v>0.013726851851851851</v>
      </c>
      <c r="M24" s="98">
        <f t="shared" si="5"/>
        <v>0.003431712962962963</v>
      </c>
      <c r="N24" s="102" t="s">
        <v>47</v>
      </c>
      <c r="Q24" s="74"/>
      <c r="R24" s="74"/>
      <c r="S24" s="74"/>
      <c r="T24" s="74"/>
      <c r="U24" s="74"/>
    </row>
    <row r="25" spans="1:14" ht="15.75">
      <c r="A25" s="13"/>
      <c r="B25" s="4" t="s">
        <v>15</v>
      </c>
      <c r="C25" s="4"/>
      <c r="D25" s="32"/>
      <c r="E25" s="32"/>
      <c r="F25" s="32"/>
      <c r="G25" s="32"/>
      <c r="H25" s="32"/>
      <c r="I25" s="32"/>
      <c r="J25" s="32"/>
      <c r="K25" s="32"/>
      <c r="L25" s="33"/>
      <c r="M25" s="99"/>
      <c r="N25" s="83"/>
    </row>
    <row r="26" spans="1:25" ht="15.75">
      <c r="A26" s="23">
        <v>1</v>
      </c>
      <c r="B26" s="24" t="s">
        <v>65</v>
      </c>
      <c r="C26" s="25">
        <v>1993</v>
      </c>
      <c r="D26" s="30">
        <f>TIME(,4,12)</f>
        <v>0.002916666666666667</v>
      </c>
      <c r="E26" s="30">
        <f>TIME(,4,13)</f>
        <v>0.0029282407407407412</v>
      </c>
      <c r="F26" s="30">
        <f>TIME(,4,10)</f>
        <v>0.002893518518518519</v>
      </c>
      <c r="G26" s="30">
        <f>TIME(,4,10)</f>
        <v>0.002893518518518519</v>
      </c>
      <c r="H26" s="30">
        <f>TIME(,4,9)</f>
        <v>0.0028819444444444444</v>
      </c>
      <c r="I26" s="34"/>
      <c r="J26" s="34"/>
      <c r="K26" s="34"/>
      <c r="L26" s="31">
        <f>SUM(D26:K26)</f>
        <v>0.01451388888888889</v>
      </c>
      <c r="M26" s="98">
        <f>L26/5</f>
        <v>0.002902777777777778</v>
      </c>
      <c r="N26" s="102">
        <v>0.003208333333333333</v>
      </c>
      <c r="Q26" s="74"/>
      <c r="R26" s="74"/>
      <c r="S26" s="74"/>
      <c r="T26" s="74"/>
      <c r="U26" s="74"/>
      <c r="Y26" s="74"/>
    </row>
    <row r="27" spans="1:25" ht="15.75">
      <c r="A27" s="23">
        <v>2</v>
      </c>
      <c r="B27" s="24" t="s">
        <v>23</v>
      </c>
      <c r="C27" s="25">
        <v>1996</v>
      </c>
      <c r="D27" s="30">
        <f>TIME(,4,4)</f>
        <v>0.002824074074074074</v>
      </c>
      <c r="E27" s="30">
        <f>TIME(,4,9)</f>
        <v>0.0028819444444444444</v>
      </c>
      <c r="F27" s="30">
        <f>TIME(,4,15)</f>
        <v>0.002951388888888889</v>
      </c>
      <c r="G27" s="30">
        <f>TIME(,4,19)</f>
        <v>0.002997685185185185</v>
      </c>
      <c r="H27" s="30">
        <f>TIME(,4,36)</f>
        <v>0.003194444444444444</v>
      </c>
      <c r="I27" s="34"/>
      <c r="J27" s="34"/>
      <c r="K27" s="34"/>
      <c r="L27" s="31">
        <f>SUM(D27:K27)</f>
        <v>0.014849537037037036</v>
      </c>
      <c r="M27" s="98">
        <f>L27/5</f>
        <v>0.0029699074074074072</v>
      </c>
      <c r="N27" s="102">
        <v>0.002962962962962963</v>
      </c>
      <c r="Q27" s="74"/>
      <c r="R27" s="74"/>
      <c r="S27" s="74"/>
      <c r="T27" s="74"/>
      <c r="U27" s="74"/>
      <c r="Y27" s="74"/>
    </row>
    <row r="28" spans="1:25" ht="15.75">
      <c r="A28" s="23">
        <v>3</v>
      </c>
      <c r="B28" s="24" t="s">
        <v>93</v>
      </c>
      <c r="C28" s="25">
        <v>1992</v>
      </c>
      <c r="D28" s="30">
        <f>TIME(,5,15)</f>
        <v>0.003645833333333333</v>
      </c>
      <c r="E28" s="30">
        <f>TIME(,5,18)</f>
        <v>0.0036805555555555554</v>
      </c>
      <c r="F28" s="30">
        <f>TIME(,5,12)</f>
        <v>0.0036111111111111114</v>
      </c>
      <c r="G28" s="30">
        <f>TIME(,5,15)</f>
        <v>0.003645833333333333</v>
      </c>
      <c r="H28" s="30">
        <f>TIME(,5,32)</f>
        <v>0.0038425925925925923</v>
      </c>
      <c r="I28" s="38"/>
      <c r="J28" s="38"/>
      <c r="K28" s="35"/>
      <c r="L28" s="31">
        <f>SUM(D28:K28)</f>
        <v>0.018425925925925925</v>
      </c>
      <c r="M28" s="98">
        <f>L28/5</f>
        <v>0.003685185185185185</v>
      </c>
      <c r="N28" s="102">
        <v>0.003993055555555556</v>
      </c>
      <c r="Q28" s="74"/>
      <c r="R28" s="74"/>
      <c r="S28" s="74"/>
      <c r="T28" s="74"/>
      <c r="U28" s="74"/>
      <c r="Y28" s="74"/>
    </row>
    <row r="29" spans="1:14" ht="15.75">
      <c r="A29" s="13"/>
      <c r="B29" s="4" t="s">
        <v>24</v>
      </c>
      <c r="C29" s="4"/>
      <c r="D29" s="32"/>
      <c r="E29" s="32"/>
      <c r="F29" s="32"/>
      <c r="G29" s="32"/>
      <c r="H29" s="32"/>
      <c r="I29" s="32"/>
      <c r="J29" s="32"/>
      <c r="K29" s="32"/>
      <c r="L29" s="33"/>
      <c r="M29" s="99"/>
      <c r="N29" s="83"/>
    </row>
    <row r="30" spans="1:14" ht="15.75">
      <c r="A30" s="12">
        <v>1</v>
      </c>
      <c r="B30" s="6" t="s">
        <v>75</v>
      </c>
      <c r="C30" s="7">
        <v>1999</v>
      </c>
      <c r="D30" s="30">
        <f>TIME(,4,38)</f>
        <v>0.0032175925925925926</v>
      </c>
      <c r="E30" s="30">
        <f>TIME(,4,34)</f>
        <v>0.0031712962962962958</v>
      </c>
      <c r="F30" s="30">
        <f>TIME(,4,38)</f>
        <v>0.0032175925925925926</v>
      </c>
      <c r="G30" s="30">
        <f>TIME(,4,39)</f>
        <v>0.0032291666666666666</v>
      </c>
      <c r="H30" s="39"/>
      <c r="I30" s="39"/>
      <c r="J30" s="39"/>
      <c r="K30" s="34"/>
      <c r="L30" s="31">
        <f>SUM(D30:K30)</f>
        <v>0.012835648148148148</v>
      </c>
      <c r="M30" s="98">
        <f>L30/4</f>
        <v>0.003208912037037037</v>
      </c>
      <c r="N30" s="102" t="s">
        <v>47</v>
      </c>
    </row>
    <row r="31" spans="1:14" ht="15.75">
      <c r="A31" s="42"/>
      <c r="B31" s="43" t="s">
        <v>25</v>
      </c>
      <c r="C31" s="43"/>
      <c r="D31" s="37"/>
      <c r="E31" s="37"/>
      <c r="F31" s="37"/>
      <c r="G31" s="37"/>
      <c r="H31" s="37"/>
      <c r="I31" s="37"/>
      <c r="J31" s="37"/>
      <c r="K31" s="37"/>
      <c r="L31" s="44"/>
      <c r="M31" s="99"/>
      <c r="N31" s="83"/>
    </row>
    <row r="32" spans="1:14" ht="15.75">
      <c r="A32" s="93">
        <v>1</v>
      </c>
      <c r="B32" s="6" t="s">
        <v>82</v>
      </c>
      <c r="C32" s="7">
        <v>2003</v>
      </c>
      <c r="D32" s="30">
        <f>TIME(,4,31)</f>
        <v>0.003136574074074074</v>
      </c>
      <c r="E32" s="30">
        <f>TIME(,4,21)</f>
        <v>0.0030208333333333333</v>
      </c>
      <c r="F32" s="30">
        <f>TIME(,4,26)</f>
        <v>0.0030787037037037037</v>
      </c>
      <c r="G32" s="34"/>
      <c r="H32" s="34"/>
      <c r="I32" s="34"/>
      <c r="J32" s="34"/>
      <c r="K32" s="34"/>
      <c r="L32" s="31">
        <f aca="true" t="shared" si="6" ref="L32:L37">SUM(D32:K32)</f>
        <v>0.009236111111111112</v>
      </c>
      <c r="M32" s="98">
        <f aca="true" t="shared" si="7" ref="M32:M37">L32/3</f>
        <v>0.0030787037037037037</v>
      </c>
      <c r="N32" s="102" t="s">
        <v>47</v>
      </c>
    </row>
    <row r="33" spans="1:14" ht="15.75">
      <c r="A33" s="45">
        <v>2</v>
      </c>
      <c r="B33" s="24" t="s">
        <v>92</v>
      </c>
      <c r="C33" s="25">
        <v>2002</v>
      </c>
      <c r="D33" s="30">
        <f>TIME(,4,24)</f>
        <v>0.0030555555555555557</v>
      </c>
      <c r="E33" s="30">
        <f>TIME(,4,27)</f>
        <v>0.003090277777777778</v>
      </c>
      <c r="F33" s="30">
        <f>TIME(,4,29)</f>
        <v>0.0031134259259259257</v>
      </c>
      <c r="G33" s="34"/>
      <c r="H33" s="34"/>
      <c r="I33" s="34"/>
      <c r="J33" s="34"/>
      <c r="K33" s="34"/>
      <c r="L33" s="31">
        <f t="shared" si="6"/>
        <v>0.009259259259259259</v>
      </c>
      <c r="M33" s="98">
        <f t="shared" si="7"/>
        <v>0.0030864197530864196</v>
      </c>
      <c r="N33" s="102">
        <v>0.004629629629629629</v>
      </c>
    </row>
    <row r="34" spans="1:14" ht="15.75">
      <c r="A34" s="92">
        <v>3</v>
      </c>
      <c r="B34" s="24" t="s">
        <v>90</v>
      </c>
      <c r="C34" s="25">
        <v>2002</v>
      </c>
      <c r="D34" s="30">
        <f>TIME(,4,33)</f>
        <v>0.003159722222222222</v>
      </c>
      <c r="E34" s="30">
        <f>TIME(,4,32)</f>
        <v>0.003148148148148148</v>
      </c>
      <c r="F34" s="30">
        <f>TIME(,4,34)</f>
        <v>0.0031712962962962958</v>
      </c>
      <c r="G34" s="34"/>
      <c r="H34" s="34"/>
      <c r="I34" s="34"/>
      <c r="J34" s="34"/>
      <c r="K34" s="34"/>
      <c r="L34" s="31">
        <f t="shared" si="6"/>
        <v>0.009479166666666665</v>
      </c>
      <c r="M34" s="98">
        <f t="shared" si="7"/>
        <v>0.0031597222222222218</v>
      </c>
      <c r="N34" s="102">
        <v>0.004074074074074075</v>
      </c>
    </row>
    <row r="35" spans="1:14" ht="15.75">
      <c r="A35" s="23">
        <v>4</v>
      </c>
      <c r="B35" s="24" t="s">
        <v>89</v>
      </c>
      <c r="C35" s="25">
        <v>2001</v>
      </c>
      <c r="D35" s="30">
        <f>TIME(,4,29)</f>
        <v>0.0031134259259259257</v>
      </c>
      <c r="E35" s="30">
        <f>TIME(,4,40)</f>
        <v>0.0032407407407407406</v>
      </c>
      <c r="F35" s="30">
        <f>TIME(,4,39)</f>
        <v>0.0032291666666666666</v>
      </c>
      <c r="G35" s="34"/>
      <c r="H35" s="34"/>
      <c r="I35" s="34"/>
      <c r="J35" s="34"/>
      <c r="K35" s="34"/>
      <c r="L35" s="31">
        <f t="shared" si="6"/>
        <v>0.009583333333333333</v>
      </c>
      <c r="M35" s="98">
        <f t="shared" si="7"/>
        <v>0.003194444444444444</v>
      </c>
      <c r="N35" s="102">
        <v>0.0037268518518518523</v>
      </c>
    </row>
    <row r="36" spans="1:14" ht="15.75">
      <c r="A36" s="45">
        <v>5</v>
      </c>
      <c r="B36" s="24" t="s">
        <v>88</v>
      </c>
      <c r="C36" s="25">
        <v>2001</v>
      </c>
      <c r="D36" s="30">
        <f>TIME(,4,37)</f>
        <v>0.003206018518518519</v>
      </c>
      <c r="E36" s="30">
        <f>TIME(,4,43)</f>
        <v>0.003275462962962963</v>
      </c>
      <c r="F36" s="30">
        <f>TIME(,4,43)</f>
        <v>0.003275462962962963</v>
      </c>
      <c r="G36" s="34"/>
      <c r="H36" s="34"/>
      <c r="I36" s="34"/>
      <c r="J36" s="34"/>
      <c r="K36" s="34"/>
      <c r="L36" s="31">
        <f t="shared" si="6"/>
        <v>0.009756944444444445</v>
      </c>
      <c r="M36" s="98">
        <f t="shared" si="7"/>
        <v>0.003252314814814815</v>
      </c>
      <c r="N36" s="102">
        <v>0.003159722222222222</v>
      </c>
    </row>
    <row r="37" spans="1:14" ht="16.5" thickBot="1">
      <c r="A37" s="91">
        <v>6</v>
      </c>
      <c r="B37" s="18" t="s">
        <v>91</v>
      </c>
      <c r="C37" s="19">
        <v>2002</v>
      </c>
      <c r="D37" s="46">
        <f>TIME(,4,45)</f>
        <v>0.003298611111111111</v>
      </c>
      <c r="E37" s="46">
        <f>TIME(,4,53)</f>
        <v>0.0033912037037037036</v>
      </c>
      <c r="F37" s="46">
        <f>TIME(,4,56)</f>
        <v>0.003425925925925926</v>
      </c>
      <c r="G37" s="47"/>
      <c r="H37" s="47"/>
      <c r="I37" s="47"/>
      <c r="J37" s="47"/>
      <c r="K37" s="47"/>
      <c r="L37" s="48">
        <f t="shared" si="6"/>
        <v>0.010115740740740741</v>
      </c>
      <c r="M37" s="100">
        <f t="shared" si="7"/>
        <v>0.0033719135802469137</v>
      </c>
      <c r="N37" s="104">
        <v>0.00410108024691358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4">
      <selection activeCell="A1" sqref="A1"/>
    </sheetView>
  </sheetViews>
  <sheetFormatPr defaultColWidth="9.00390625" defaultRowHeight="12.75"/>
  <cols>
    <col min="2" max="2" width="19.125" style="0" customWidth="1"/>
    <col min="4" max="4" width="8.875" style="0" customWidth="1"/>
    <col min="5" max="5" width="9.625" style="0" customWidth="1"/>
    <col min="6" max="6" width="11.625" style="0" customWidth="1"/>
    <col min="7" max="7" width="11.75390625" style="0" customWidth="1"/>
    <col min="8" max="9" width="8.625" style="0" customWidth="1"/>
    <col min="10" max="10" width="6.375" style="0" customWidth="1"/>
    <col min="11" max="11" width="6.625" style="0" customWidth="1"/>
    <col min="12" max="12" width="10.25390625" style="0" customWidth="1"/>
    <col min="13" max="13" width="10.125" style="0" customWidth="1"/>
    <col min="14" max="14" width="11.00390625" style="0" customWidth="1"/>
    <col min="15" max="15" width="10.625" style="0" customWidth="1"/>
    <col min="16" max="16" width="16.75390625" style="0" customWidth="1"/>
    <col min="17" max="17" width="15.75390625" style="0" customWidth="1"/>
    <col min="18" max="18" width="14.375" style="0" customWidth="1"/>
  </cols>
  <sheetData>
    <row r="1" spans="1:15" ht="16.5" thickBot="1">
      <c r="A1" s="2" t="s">
        <v>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73"/>
    </row>
    <row r="2" spans="1:18" ht="16.5" thickBot="1">
      <c r="A2" s="49" t="s">
        <v>4</v>
      </c>
      <c r="B2" s="50" t="s">
        <v>48</v>
      </c>
      <c r="C2" s="22" t="s">
        <v>1</v>
      </c>
      <c r="D2" s="105" t="s">
        <v>27</v>
      </c>
      <c r="E2" s="106"/>
      <c r="F2" s="105" t="s">
        <v>28</v>
      </c>
      <c r="G2" s="106"/>
      <c r="H2" s="105" t="s">
        <v>29</v>
      </c>
      <c r="I2" s="106"/>
      <c r="J2" s="105" t="s">
        <v>30</v>
      </c>
      <c r="K2" s="106"/>
      <c r="L2" s="105" t="s">
        <v>31</v>
      </c>
      <c r="M2" s="106"/>
      <c r="N2" s="105" t="s">
        <v>32</v>
      </c>
      <c r="O2" s="106"/>
      <c r="P2" s="105" t="s">
        <v>33</v>
      </c>
      <c r="Q2" s="106"/>
      <c r="R2" s="51" t="s">
        <v>34</v>
      </c>
    </row>
    <row r="3" spans="1:18" ht="15.75">
      <c r="A3" s="67"/>
      <c r="B3" s="68" t="s">
        <v>26</v>
      </c>
      <c r="C3" s="71"/>
      <c r="D3" s="69">
        <v>2016</v>
      </c>
      <c r="E3" s="69">
        <v>2017</v>
      </c>
      <c r="F3" s="69">
        <v>2016</v>
      </c>
      <c r="G3" s="69">
        <v>2017</v>
      </c>
      <c r="H3" s="69">
        <v>2016</v>
      </c>
      <c r="I3" s="69">
        <v>2017</v>
      </c>
      <c r="J3" s="69">
        <v>2016</v>
      </c>
      <c r="K3" s="69">
        <v>2017</v>
      </c>
      <c r="L3" s="69">
        <v>2016</v>
      </c>
      <c r="M3" s="69">
        <v>2017</v>
      </c>
      <c r="N3" s="69">
        <v>2016</v>
      </c>
      <c r="O3" s="69">
        <v>2017</v>
      </c>
      <c r="P3" s="70">
        <v>2016</v>
      </c>
      <c r="Q3" s="69">
        <v>2017</v>
      </c>
      <c r="R3" s="90">
        <v>2017</v>
      </c>
    </row>
    <row r="4" spans="1:18" ht="15.75">
      <c r="A4" s="12">
        <v>1</v>
      </c>
      <c r="B4" s="6" t="s">
        <v>67</v>
      </c>
      <c r="C4" s="5">
        <v>1998</v>
      </c>
      <c r="D4" s="58"/>
      <c r="E4" s="58">
        <v>-18</v>
      </c>
      <c r="F4" s="58"/>
      <c r="G4" s="58" t="s">
        <v>35</v>
      </c>
      <c r="H4" s="58"/>
      <c r="I4" s="58" t="s">
        <v>38</v>
      </c>
      <c r="J4" s="58"/>
      <c r="K4" s="58">
        <v>12</v>
      </c>
      <c r="L4" s="58"/>
      <c r="M4" s="58">
        <v>26.46</v>
      </c>
      <c r="N4" s="58"/>
      <c r="O4" s="58">
        <v>11</v>
      </c>
      <c r="P4" s="59"/>
      <c r="Q4" s="59">
        <v>0.125</v>
      </c>
      <c r="R4" s="60">
        <v>7</v>
      </c>
    </row>
    <row r="5" spans="1:18" ht="15.75">
      <c r="A5" s="45">
        <v>2</v>
      </c>
      <c r="B5" s="3" t="s">
        <v>18</v>
      </c>
      <c r="C5" s="5">
        <v>2000</v>
      </c>
      <c r="D5" s="58">
        <v>-12</v>
      </c>
      <c r="E5" s="58">
        <v>-16</v>
      </c>
      <c r="F5" s="58" t="s">
        <v>35</v>
      </c>
      <c r="G5" s="58" t="s">
        <v>39</v>
      </c>
      <c r="H5" s="58" t="s">
        <v>36</v>
      </c>
      <c r="I5" s="58" t="s">
        <v>36</v>
      </c>
      <c r="J5" s="58">
        <v>8</v>
      </c>
      <c r="K5" s="58">
        <v>12</v>
      </c>
      <c r="L5" s="58">
        <v>27.1</v>
      </c>
      <c r="M5" s="58">
        <v>25.8</v>
      </c>
      <c r="N5" s="58">
        <v>10.1</v>
      </c>
      <c r="O5" s="58">
        <v>10</v>
      </c>
      <c r="P5" s="59">
        <v>0.09999999999999999</v>
      </c>
      <c r="Q5" s="59">
        <v>0.125</v>
      </c>
      <c r="R5" s="60">
        <v>11</v>
      </c>
    </row>
    <row r="6" spans="1:18" ht="15.75">
      <c r="A6" s="12">
        <v>3</v>
      </c>
      <c r="B6" s="3" t="s">
        <v>17</v>
      </c>
      <c r="C6" s="5">
        <v>2000</v>
      </c>
      <c r="D6" s="58">
        <v>-13</v>
      </c>
      <c r="E6" s="58">
        <v>-18</v>
      </c>
      <c r="F6" s="58" t="s">
        <v>39</v>
      </c>
      <c r="G6" s="58" t="s">
        <v>39</v>
      </c>
      <c r="H6" s="58" t="s">
        <v>38</v>
      </c>
      <c r="I6" s="58" t="s">
        <v>38</v>
      </c>
      <c r="J6" s="58">
        <v>11</v>
      </c>
      <c r="K6" s="58">
        <v>13</v>
      </c>
      <c r="L6" s="58">
        <v>25</v>
      </c>
      <c r="M6" s="58">
        <v>25.6</v>
      </c>
      <c r="N6" s="58">
        <v>7.6</v>
      </c>
      <c r="O6" s="58">
        <v>8.4</v>
      </c>
      <c r="P6" s="59">
        <v>0.125</v>
      </c>
      <c r="Q6" s="59">
        <v>0.125</v>
      </c>
      <c r="R6" s="60">
        <v>12</v>
      </c>
    </row>
    <row r="7" spans="1:18" ht="15.75">
      <c r="A7" s="12">
        <v>4</v>
      </c>
      <c r="B7" s="6" t="s">
        <v>69</v>
      </c>
      <c r="C7" s="5">
        <v>1998</v>
      </c>
      <c r="D7" s="58"/>
      <c r="E7" s="58">
        <v>-19</v>
      </c>
      <c r="F7" s="58"/>
      <c r="G7" s="58" t="s">
        <v>35</v>
      </c>
      <c r="H7" s="58"/>
      <c r="I7" s="58" t="s">
        <v>38</v>
      </c>
      <c r="J7" s="58"/>
      <c r="K7" s="58">
        <v>6</v>
      </c>
      <c r="L7" s="58"/>
      <c r="M7" s="58">
        <v>24.8</v>
      </c>
      <c r="N7" s="58"/>
      <c r="O7" s="58">
        <v>8.8</v>
      </c>
      <c r="P7" s="59"/>
      <c r="Q7" s="59">
        <v>0.125</v>
      </c>
      <c r="R7" s="60">
        <v>15</v>
      </c>
    </row>
    <row r="8" spans="1:18" ht="15.75">
      <c r="A8" s="12">
        <v>4</v>
      </c>
      <c r="B8" s="3" t="s">
        <v>19</v>
      </c>
      <c r="C8" s="5">
        <v>1999</v>
      </c>
      <c r="D8" s="58">
        <v>-18</v>
      </c>
      <c r="E8" s="58">
        <v>-19</v>
      </c>
      <c r="F8" s="58" t="s">
        <v>39</v>
      </c>
      <c r="G8" s="58" t="s">
        <v>39</v>
      </c>
      <c r="H8" s="58" t="s">
        <v>38</v>
      </c>
      <c r="I8" s="58" t="s">
        <v>38</v>
      </c>
      <c r="J8" s="58">
        <v>7</v>
      </c>
      <c r="K8" s="58">
        <v>6</v>
      </c>
      <c r="L8" s="58">
        <v>23.1</v>
      </c>
      <c r="M8" s="58" t="s">
        <v>47</v>
      </c>
      <c r="N8" s="58">
        <v>8.8</v>
      </c>
      <c r="O8" s="58">
        <v>9.5</v>
      </c>
      <c r="P8" s="59">
        <v>0.125</v>
      </c>
      <c r="Q8" s="59">
        <v>0.125</v>
      </c>
      <c r="R8" s="60">
        <v>15</v>
      </c>
    </row>
    <row r="9" spans="1:18" ht="15.75">
      <c r="A9" s="12">
        <v>6</v>
      </c>
      <c r="B9" s="6" t="s">
        <v>3</v>
      </c>
      <c r="C9" s="5">
        <v>1998</v>
      </c>
      <c r="D9" s="58">
        <v>-12</v>
      </c>
      <c r="E9" s="58">
        <v>-9</v>
      </c>
      <c r="F9" s="58" t="s">
        <v>39</v>
      </c>
      <c r="G9" s="58" t="s">
        <v>39</v>
      </c>
      <c r="H9" s="58" t="s">
        <v>38</v>
      </c>
      <c r="I9" s="58" t="s">
        <v>38</v>
      </c>
      <c r="J9" s="58">
        <v>14</v>
      </c>
      <c r="K9" s="58">
        <v>11</v>
      </c>
      <c r="L9" s="58">
        <v>27.2</v>
      </c>
      <c r="M9" s="58">
        <v>26</v>
      </c>
      <c r="N9" s="58">
        <v>7.8</v>
      </c>
      <c r="O9" s="58">
        <v>6.8</v>
      </c>
      <c r="P9" s="59">
        <v>0.125</v>
      </c>
      <c r="Q9" s="59">
        <v>0.125</v>
      </c>
      <c r="R9" s="60">
        <v>17</v>
      </c>
    </row>
    <row r="10" spans="1:18" ht="15.75">
      <c r="A10" s="12">
        <v>7</v>
      </c>
      <c r="B10" s="3" t="s">
        <v>46</v>
      </c>
      <c r="C10" s="5">
        <v>2000</v>
      </c>
      <c r="D10" s="58">
        <v>-3</v>
      </c>
      <c r="E10" s="58">
        <v>-8</v>
      </c>
      <c r="F10" s="58" t="s">
        <v>39</v>
      </c>
      <c r="G10" s="58" t="s">
        <v>39</v>
      </c>
      <c r="H10" s="58" t="s">
        <v>38</v>
      </c>
      <c r="I10" s="58" t="s">
        <v>38</v>
      </c>
      <c r="J10" s="58">
        <v>4</v>
      </c>
      <c r="K10" s="58">
        <v>5</v>
      </c>
      <c r="L10" s="58">
        <v>23.6</v>
      </c>
      <c r="M10" s="58">
        <v>24.4</v>
      </c>
      <c r="N10" s="58">
        <v>7.6</v>
      </c>
      <c r="O10" s="58">
        <v>7.5</v>
      </c>
      <c r="P10" s="59">
        <v>0.1111111111111111</v>
      </c>
      <c r="Q10" s="59">
        <v>0.125</v>
      </c>
      <c r="R10" s="60">
        <v>22</v>
      </c>
    </row>
    <row r="11" spans="1:18" ht="15.75">
      <c r="A11" s="12">
        <v>8</v>
      </c>
      <c r="B11" s="3" t="s">
        <v>68</v>
      </c>
      <c r="C11" s="5">
        <v>1998</v>
      </c>
      <c r="D11" s="58"/>
      <c r="E11" s="58">
        <v>19</v>
      </c>
      <c r="F11" s="58"/>
      <c r="G11" s="58" t="s">
        <v>35</v>
      </c>
      <c r="H11" s="58"/>
      <c r="I11" s="58" t="s">
        <v>36</v>
      </c>
      <c r="J11" s="58"/>
      <c r="K11" s="58">
        <v>5</v>
      </c>
      <c r="L11" s="58"/>
      <c r="M11" s="58">
        <v>24</v>
      </c>
      <c r="N11" s="58"/>
      <c r="O11" s="58">
        <v>7.4</v>
      </c>
      <c r="P11" s="59"/>
      <c r="Q11" s="59">
        <v>0.125</v>
      </c>
      <c r="R11" s="60">
        <v>27</v>
      </c>
    </row>
    <row r="12" spans="1:18" ht="15.75">
      <c r="A12" s="13"/>
      <c r="B12" s="4" t="s">
        <v>37</v>
      </c>
      <c r="C12" s="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6"/>
      <c r="Q12" s="56"/>
      <c r="R12" s="57"/>
    </row>
    <row r="13" spans="1:18" ht="15.75">
      <c r="A13" s="12">
        <v>1</v>
      </c>
      <c r="B13" s="3" t="s">
        <v>45</v>
      </c>
      <c r="C13" s="5">
        <v>2002</v>
      </c>
      <c r="D13" s="58">
        <v>-13</v>
      </c>
      <c r="E13" s="58">
        <v>-16</v>
      </c>
      <c r="F13" s="58" t="s">
        <v>39</v>
      </c>
      <c r="G13" s="58" t="s">
        <v>39</v>
      </c>
      <c r="H13" s="58" t="s">
        <v>38</v>
      </c>
      <c r="I13" s="58" t="s">
        <v>38</v>
      </c>
      <c r="J13" s="58">
        <v>5</v>
      </c>
      <c r="K13" s="58">
        <v>8</v>
      </c>
      <c r="L13" s="58">
        <v>24.7</v>
      </c>
      <c r="M13" s="58">
        <v>25</v>
      </c>
      <c r="N13" s="58">
        <v>7.9</v>
      </c>
      <c r="O13" s="58">
        <v>9.3</v>
      </c>
      <c r="P13" s="59">
        <v>0.125</v>
      </c>
      <c r="Q13" s="59">
        <v>0.125</v>
      </c>
      <c r="R13" s="60">
        <v>6</v>
      </c>
    </row>
    <row r="14" spans="1:18" ht="15.75">
      <c r="A14" s="12">
        <v>1</v>
      </c>
      <c r="B14" s="3" t="s">
        <v>73</v>
      </c>
      <c r="C14" s="5">
        <v>2002</v>
      </c>
      <c r="D14" s="58"/>
      <c r="E14" s="58">
        <v>-21</v>
      </c>
      <c r="F14" s="58"/>
      <c r="G14" s="58" t="s">
        <v>39</v>
      </c>
      <c r="H14" s="58"/>
      <c r="I14" s="58" t="s">
        <v>38</v>
      </c>
      <c r="J14" s="58"/>
      <c r="K14" s="58">
        <v>10</v>
      </c>
      <c r="L14" s="58"/>
      <c r="M14" s="58">
        <v>24.2</v>
      </c>
      <c r="N14" s="58"/>
      <c r="O14" s="58">
        <v>8.15</v>
      </c>
      <c r="P14" s="59"/>
      <c r="Q14" s="59">
        <v>0.125</v>
      </c>
      <c r="R14" s="60">
        <v>6</v>
      </c>
    </row>
    <row r="15" spans="1:18" ht="15.75">
      <c r="A15" s="45">
        <v>3</v>
      </c>
      <c r="B15" s="3" t="s">
        <v>72</v>
      </c>
      <c r="C15" s="5">
        <v>2003</v>
      </c>
      <c r="D15" s="58"/>
      <c r="E15" s="58">
        <v>1</v>
      </c>
      <c r="F15" s="58"/>
      <c r="G15" s="58" t="s">
        <v>35</v>
      </c>
      <c r="H15" s="58"/>
      <c r="I15" s="58" t="s">
        <v>36</v>
      </c>
      <c r="J15" s="58"/>
      <c r="K15" s="58">
        <v>2</v>
      </c>
      <c r="L15" s="58"/>
      <c r="M15" s="58">
        <v>23.3</v>
      </c>
      <c r="N15" s="58"/>
      <c r="O15" s="58">
        <v>6.7</v>
      </c>
      <c r="P15" s="59"/>
      <c r="Q15" s="59">
        <v>0.125</v>
      </c>
      <c r="R15" s="60">
        <v>16</v>
      </c>
    </row>
    <row r="16" spans="1:18" ht="15.75">
      <c r="A16" s="45">
        <v>4</v>
      </c>
      <c r="B16" s="3" t="s">
        <v>74</v>
      </c>
      <c r="C16" s="5">
        <v>2003</v>
      </c>
      <c r="D16" s="58"/>
      <c r="E16" s="58">
        <v>0</v>
      </c>
      <c r="F16" s="58"/>
      <c r="G16" s="58" t="s">
        <v>35</v>
      </c>
      <c r="H16" s="58"/>
      <c r="I16" s="58" t="s">
        <v>36</v>
      </c>
      <c r="J16" s="58"/>
      <c r="K16" s="58">
        <v>3</v>
      </c>
      <c r="L16" s="58"/>
      <c r="M16" s="58">
        <v>19.1</v>
      </c>
      <c r="N16" s="58"/>
      <c r="O16" s="58">
        <v>4</v>
      </c>
      <c r="P16" s="59"/>
      <c r="Q16" s="59">
        <v>0.125</v>
      </c>
      <c r="R16" s="60">
        <v>20</v>
      </c>
    </row>
    <row r="17" spans="1:18" ht="15.75">
      <c r="A17" s="89">
        <v>4</v>
      </c>
      <c r="B17" s="3" t="s">
        <v>70</v>
      </c>
      <c r="C17" s="5">
        <v>2003</v>
      </c>
      <c r="D17" s="58"/>
      <c r="E17" s="58">
        <v>3</v>
      </c>
      <c r="F17" s="58"/>
      <c r="G17" s="58" t="s">
        <v>35</v>
      </c>
      <c r="H17" s="58"/>
      <c r="I17" s="58" t="s">
        <v>36</v>
      </c>
      <c r="J17" s="58"/>
      <c r="K17" s="58">
        <v>0</v>
      </c>
      <c r="L17" s="58"/>
      <c r="M17" s="58">
        <v>20.6</v>
      </c>
      <c r="N17" s="58"/>
      <c r="O17" s="58">
        <v>5.9</v>
      </c>
      <c r="P17" s="59"/>
      <c r="Q17" s="59">
        <v>0.125</v>
      </c>
      <c r="R17" s="60">
        <v>20</v>
      </c>
    </row>
    <row r="18" spans="1:18" ht="15.75">
      <c r="A18" s="45">
        <v>6</v>
      </c>
      <c r="B18" s="3" t="s">
        <v>71</v>
      </c>
      <c r="C18" s="5">
        <v>2003</v>
      </c>
      <c r="D18" s="58"/>
      <c r="E18" s="58">
        <v>4</v>
      </c>
      <c r="F18" s="58"/>
      <c r="G18" s="58" t="s">
        <v>35</v>
      </c>
      <c r="H18" s="58"/>
      <c r="I18" s="58" t="s">
        <v>36</v>
      </c>
      <c r="J18" s="58"/>
      <c r="K18" s="58">
        <v>0</v>
      </c>
      <c r="L18" s="58"/>
      <c r="M18" s="58">
        <v>19.9</v>
      </c>
      <c r="N18" s="58"/>
      <c r="O18" s="58">
        <v>5.7</v>
      </c>
      <c r="P18" s="59"/>
      <c r="Q18" s="59">
        <v>0.125</v>
      </c>
      <c r="R18" s="60">
        <v>23</v>
      </c>
    </row>
    <row r="19" spans="1:18" ht="15.75">
      <c r="A19" s="13"/>
      <c r="B19" s="4" t="s">
        <v>41</v>
      </c>
      <c r="C19" s="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  <c r="Q19" s="56"/>
      <c r="R19" s="57"/>
    </row>
    <row r="20" spans="1:18" ht="16.5" customHeight="1">
      <c r="A20" s="12">
        <v>1</v>
      </c>
      <c r="B20" s="40" t="s">
        <v>75</v>
      </c>
      <c r="C20" s="41">
        <v>1999</v>
      </c>
      <c r="D20" s="61"/>
      <c r="E20" s="61">
        <v>-17</v>
      </c>
      <c r="F20" s="58"/>
      <c r="G20" s="72" t="s">
        <v>39</v>
      </c>
      <c r="H20" s="61"/>
      <c r="I20" s="61" t="s">
        <v>38</v>
      </c>
      <c r="J20" s="61"/>
      <c r="K20" s="61" t="s">
        <v>76</v>
      </c>
      <c r="L20" s="61"/>
      <c r="M20" s="61">
        <v>19.5</v>
      </c>
      <c r="N20" s="61"/>
      <c r="O20" s="61">
        <v>5.9</v>
      </c>
      <c r="P20" s="62"/>
      <c r="Q20" s="62">
        <v>0.125</v>
      </c>
      <c r="R20" s="60">
        <v>4</v>
      </c>
    </row>
    <row r="21" spans="1:18" ht="15.75">
      <c r="A21" s="13"/>
      <c r="B21" s="43" t="s">
        <v>42</v>
      </c>
      <c r="C21" s="4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/>
      <c r="Q21" s="64"/>
      <c r="R21" s="65"/>
    </row>
    <row r="22" spans="1:18" ht="15.75">
      <c r="A22" s="45">
        <v>1</v>
      </c>
      <c r="B22" s="6" t="s">
        <v>82</v>
      </c>
      <c r="C22" s="7">
        <v>2003</v>
      </c>
      <c r="D22" s="52"/>
      <c r="E22" s="52">
        <v>-18</v>
      </c>
      <c r="F22" s="52"/>
      <c r="G22" s="52" t="s">
        <v>39</v>
      </c>
      <c r="H22" s="52"/>
      <c r="I22" s="52" t="s">
        <v>38</v>
      </c>
      <c r="J22" s="52"/>
      <c r="K22" s="52" t="s">
        <v>83</v>
      </c>
      <c r="L22" s="52"/>
      <c r="M22" s="52">
        <v>20.3</v>
      </c>
      <c r="N22" s="52"/>
      <c r="O22" s="52">
        <v>6.1</v>
      </c>
      <c r="P22" s="59"/>
      <c r="Q22" s="53">
        <v>0.125</v>
      </c>
      <c r="R22" s="54">
        <v>8</v>
      </c>
    </row>
    <row r="23" spans="1:18" ht="15.75">
      <c r="A23" s="45">
        <v>2</v>
      </c>
      <c r="B23" s="6" t="s">
        <v>54</v>
      </c>
      <c r="C23" s="7">
        <v>2002</v>
      </c>
      <c r="D23" s="52">
        <v>-11</v>
      </c>
      <c r="E23" s="52">
        <v>-12</v>
      </c>
      <c r="F23" s="52" t="s">
        <v>44</v>
      </c>
      <c r="G23" s="52" t="s">
        <v>39</v>
      </c>
      <c r="H23" s="52" t="s">
        <v>38</v>
      </c>
      <c r="I23" s="52" t="s">
        <v>38</v>
      </c>
      <c r="J23" s="52" t="s">
        <v>43</v>
      </c>
      <c r="K23" s="52" t="s">
        <v>77</v>
      </c>
      <c r="L23" s="52">
        <v>22.3</v>
      </c>
      <c r="M23" s="52">
        <v>21.1</v>
      </c>
      <c r="N23" s="52">
        <v>6.1</v>
      </c>
      <c r="O23" s="52">
        <v>6.15</v>
      </c>
      <c r="P23" s="59">
        <v>0.125</v>
      </c>
      <c r="Q23" s="53">
        <v>0.125</v>
      </c>
      <c r="R23" s="54">
        <v>12</v>
      </c>
    </row>
    <row r="24" spans="1:18" ht="15.75">
      <c r="A24" s="45">
        <v>3</v>
      </c>
      <c r="B24" s="6" t="s">
        <v>55</v>
      </c>
      <c r="C24" s="7">
        <v>2002</v>
      </c>
      <c r="D24" s="52">
        <v>-11</v>
      </c>
      <c r="E24" s="52">
        <v>-12</v>
      </c>
      <c r="F24" s="52" t="s">
        <v>35</v>
      </c>
      <c r="G24" s="52" t="s">
        <v>44</v>
      </c>
      <c r="H24" s="52" t="s">
        <v>36</v>
      </c>
      <c r="I24" s="52" t="s">
        <v>38</v>
      </c>
      <c r="J24" s="52" t="s">
        <v>61</v>
      </c>
      <c r="K24" s="52" t="s">
        <v>78</v>
      </c>
      <c r="L24" s="52">
        <v>20.35</v>
      </c>
      <c r="M24" s="52">
        <v>19.3</v>
      </c>
      <c r="N24" s="52">
        <v>5.2</v>
      </c>
      <c r="O24" s="52">
        <v>5.6</v>
      </c>
      <c r="P24" s="59">
        <v>0.125</v>
      </c>
      <c r="Q24" s="53">
        <v>0.125</v>
      </c>
      <c r="R24" s="54">
        <v>14.5</v>
      </c>
    </row>
    <row r="25" spans="1:18" ht="15.75">
      <c r="A25" s="45">
        <v>4</v>
      </c>
      <c r="B25" s="6" t="s">
        <v>57</v>
      </c>
      <c r="C25" s="7">
        <v>2002</v>
      </c>
      <c r="D25" s="52">
        <v>-11</v>
      </c>
      <c r="E25" s="52">
        <v>-14</v>
      </c>
      <c r="F25" s="52" t="s">
        <v>39</v>
      </c>
      <c r="G25" s="52" t="s">
        <v>39</v>
      </c>
      <c r="H25" s="52" t="s">
        <v>38</v>
      </c>
      <c r="I25" s="52" t="s">
        <v>38</v>
      </c>
      <c r="J25" s="52" t="s">
        <v>62</v>
      </c>
      <c r="K25" s="52" t="s">
        <v>80</v>
      </c>
      <c r="L25" s="52">
        <v>19.7</v>
      </c>
      <c r="M25" s="52">
        <v>20.4</v>
      </c>
      <c r="N25" s="52">
        <v>4.8</v>
      </c>
      <c r="O25" s="52">
        <v>5.15</v>
      </c>
      <c r="P25" s="59">
        <v>0.125</v>
      </c>
      <c r="Q25" s="53">
        <v>0.125</v>
      </c>
      <c r="R25" s="54">
        <v>15</v>
      </c>
    </row>
    <row r="26" spans="1:18" ht="15.75">
      <c r="A26" s="45">
        <v>5</v>
      </c>
      <c r="B26" s="6" t="s">
        <v>49</v>
      </c>
      <c r="C26" s="7">
        <v>2001</v>
      </c>
      <c r="D26" s="52">
        <v>-8</v>
      </c>
      <c r="E26" s="52">
        <v>-8</v>
      </c>
      <c r="F26" s="52" t="s">
        <v>35</v>
      </c>
      <c r="G26" s="52" t="s">
        <v>44</v>
      </c>
      <c r="H26" s="52" t="s">
        <v>38</v>
      </c>
      <c r="I26" s="52" t="s">
        <v>38</v>
      </c>
      <c r="J26" s="52" t="s">
        <v>60</v>
      </c>
      <c r="K26" s="52" t="s">
        <v>79</v>
      </c>
      <c r="L26" s="52">
        <v>18.5</v>
      </c>
      <c r="M26" s="52">
        <v>18.1</v>
      </c>
      <c r="N26" s="52">
        <v>6.5</v>
      </c>
      <c r="O26" s="52">
        <v>6.6</v>
      </c>
      <c r="P26" s="59">
        <v>0.125</v>
      </c>
      <c r="Q26" s="53">
        <v>0.125</v>
      </c>
      <c r="R26" s="54">
        <v>16.5</v>
      </c>
    </row>
    <row r="27" spans="1:18" s="86" customFormat="1" ht="16.5" thickBot="1">
      <c r="A27" s="28">
        <v>5</v>
      </c>
      <c r="B27" s="18" t="s">
        <v>56</v>
      </c>
      <c r="C27" s="19">
        <v>2001</v>
      </c>
      <c r="D27" s="85">
        <v>-10</v>
      </c>
      <c r="E27" s="85">
        <v>-10</v>
      </c>
      <c r="F27" s="85" t="s">
        <v>40</v>
      </c>
      <c r="G27" s="85" t="s">
        <v>44</v>
      </c>
      <c r="H27" s="85" t="s">
        <v>38</v>
      </c>
      <c r="I27" s="85" t="s">
        <v>38</v>
      </c>
      <c r="J27" s="85" t="s">
        <v>63</v>
      </c>
      <c r="K27" s="85" t="s">
        <v>81</v>
      </c>
      <c r="L27" s="85">
        <v>19</v>
      </c>
      <c r="M27" s="85">
        <v>18.8</v>
      </c>
      <c r="N27" s="85">
        <v>5.2</v>
      </c>
      <c r="O27" s="85">
        <v>5.7</v>
      </c>
      <c r="P27" s="87">
        <v>0.125</v>
      </c>
      <c r="Q27" s="88">
        <v>0.125</v>
      </c>
      <c r="R27" s="66">
        <v>16.5</v>
      </c>
    </row>
  </sheetData>
  <sheetProtection/>
  <mergeCells count="7">
    <mergeCell ref="P2:Q2"/>
    <mergeCell ref="D2:E2"/>
    <mergeCell ref="F2:G2"/>
    <mergeCell ref="H2:I2"/>
    <mergeCell ref="J2:K2"/>
    <mergeCell ref="L2:M2"/>
    <mergeCell ref="N2:O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K30" sqref="K30"/>
    </sheetView>
  </sheetViews>
  <sheetFormatPr defaultColWidth="9.00390625" defaultRowHeight="12.75"/>
  <cols>
    <col min="2" max="2" width="31.625" style="0" customWidth="1"/>
    <col min="8" max="8" width="21.75390625" style="0" customWidth="1"/>
    <col min="9" max="9" width="29.00390625" style="0" customWidth="1"/>
  </cols>
  <sheetData>
    <row r="1" spans="2:5" ht="16.5" thickBot="1">
      <c r="B1" s="2" t="s">
        <v>96</v>
      </c>
      <c r="C1" s="11"/>
      <c r="D1" s="11"/>
      <c r="E1" s="11"/>
    </row>
    <row r="2" spans="1:8" ht="16.5" thickBot="1">
      <c r="A2" s="14" t="s">
        <v>4</v>
      </c>
      <c r="B2" s="8" t="s">
        <v>58</v>
      </c>
      <c r="C2" s="22" t="s">
        <v>1</v>
      </c>
      <c r="D2" s="16" t="s">
        <v>6</v>
      </c>
      <c r="E2" s="16" t="s">
        <v>7</v>
      </c>
      <c r="F2" s="17" t="s">
        <v>0</v>
      </c>
      <c r="G2" s="16" t="s">
        <v>95</v>
      </c>
      <c r="H2" s="97" t="s">
        <v>97</v>
      </c>
    </row>
    <row r="3" spans="1:10" ht="15.75">
      <c r="A3" s="12">
        <v>1</v>
      </c>
      <c r="B3" s="3" t="s">
        <v>2</v>
      </c>
      <c r="C3" s="21">
        <v>1994</v>
      </c>
      <c r="D3" s="9">
        <f>TIME(,19,22)</f>
        <v>0.013449074074074073</v>
      </c>
      <c r="E3" s="9">
        <f>TIME(,19,38)</f>
        <v>0.013634259259259257</v>
      </c>
      <c r="F3" s="31">
        <f aca="true" t="shared" si="0" ref="F3:F8">SUM(C3:E3)</f>
        <v>1994.0270833333334</v>
      </c>
      <c r="G3" s="79">
        <f>F3/2</f>
        <v>997.0135416666667</v>
      </c>
      <c r="H3" s="108">
        <v>0.014473379629629628</v>
      </c>
      <c r="I3" s="107"/>
      <c r="J3" s="75"/>
    </row>
    <row r="4" spans="1:10" ht="15.75">
      <c r="A4" s="12">
        <v>2</v>
      </c>
      <c r="B4" s="3" t="s">
        <v>85</v>
      </c>
      <c r="C4" s="21">
        <v>1996</v>
      </c>
      <c r="D4" s="9">
        <f>TIME(,20,30)</f>
        <v>0.01423611111111111</v>
      </c>
      <c r="E4" s="9">
        <f>TIME(,21,5)</f>
        <v>0.014641203703703703</v>
      </c>
      <c r="F4" s="31">
        <f t="shared" si="0"/>
        <v>1996.0288773148147</v>
      </c>
      <c r="G4" s="79">
        <f>F4/2</f>
        <v>998.0144386574074</v>
      </c>
      <c r="H4" s="78" t="s">
        <v>47</v>
      </c>
      <c r="I4" s="107"/>
      <c r="J4" s="75"/>
    </row>
    <row r="5" spans="1:10" ht="15.75">
      <c r="A5" s="12">
        <v>3</v>
      </c>
      <c r="B5" s="3" t="s">
        <v>64</v>
      </c>
      <c r="C5" s="21">
        <v>1993</v>
      </c>
      <c r="D5" s="9">
        <f>TIME(,20,46)</f>
        <v>0.014421296296296295</v>
      </c>
      <c r="E5" s="9">
        <f>TIME(,20,54)</f>
        <v>0.014513888888888889</v>
      </c>
      <c r="F5" s="31">
        <f t="shared" si="0"/>
        <v>1993.0289351851852</v>
      </c>
      <c r="G5" s="79">
        <f>F5/2</f>
        <v>996.5144675925926</v>
      </c>
      <c r="H5" s="109">
        <v>0.014641203703703703</v>
      </c>
      <c r="I5" s="107"/>
      <c r="J5" s="75"/>
    </row>
    <row r="6" spans="1:10" ht="15.75">
      <c r="A6" s="12">
        <v>4</v>
      </c>
      <c r="B6" s="3" t="s">
        <v>5</v>
      </c>
      <c r="C6" s="5">
        <v>1988</v>
      </c>
      <c r="D6" s="9">
        <f>TIME(,21,0)</f>
        <v>0.014583333333333332</v>
      </c>
      <c r="E6" s="9">
        <f>TIME(,21,35)</f>
        <v>0.014988425925925926</v>
      </c>
      <c r="F6" s="31">
        <f t="shared" si="0"/>
        <v>1988.0295717592592</v>
      </c>
      <c r="G6" s="79">
        <f>F6/2</f>
        <v>994.0147858796296</v>
      </c>
      <c r="H6" s="78">
        <v>0.014739583333333334</v>
      </c>
      <c r="I6" s="107"/>
      <c r="J6" s="75"/>
    </row>
    <row r="7" spans="1:10" ht="15.75">
      <c r="A7" s="12">
        <v>5</v>
      </c>
      <c r="B7" s="3" t="s">
        <v>11</v>
      </c>
      <c r="C7" s="5">
        <v>1982</v>
      </c>
      <c r="D7" s="9">
        <f>TIME(,22,52)</f>
        <v>0.01587962962962963</v>
      </c>
      <c r="E7" s="9">
        <f>TIME(,24,33)</f>
        <v>0.01704861111111111</v>
      </c>
      <c r="F7" s="31">
        <f t="shared" si="0"/>
        <v>1982.0329282407406</v>
      </c>
      <c r="G7" s="79">
        <f>F7/2</f>
        <v>991.0164641203703</v>
      </c>
      <c r="H7" s="78">
        <v>0.01578125</v>
      </c>
      <c r="I7" s="107"/>
      <c r="J7" s="75"/>
    </row>
    <row r="8" spans="1:10" ht="15.75">
      <c r="A8" s="12">
        <v>6</v>
      </c>
      <c r="B8" s="3" t="s">
        <v>86</v>
      </c>
      <c r="C8" s="21">
        <v>1987</v>
      </c>
      <c r="D8" s="9">
        <f>TIME(,23,34)</f>
        <v>0.01636574074074074</v>
      </c>
      <c r="E8" s="9">
        <f>TIME(,24,50)</f>
        <v>0.01724537037037037</v>
      </c>
      <c r="F8" s="31">
        <f t="shared" si="0"/>
        <v>1987.033611111111</v>
      </c>
      <c r="G8" s="79">
        <f>F8/2</f>
        <v>993.5168055555555</v>
      </c>
      <c r="H8" s="109">
        <v>0.01570023148148148</v>
      </c>
      <c r="I8" s="107"/>
      <c r="J8" s="75"/>
    </row>
    <row r="9" spans="1:9" ht="15.75">
      <c r="A9" s="13"/>
      <c r="B9" s="4" t="s">
        <v>59</v>
      </c>
      <c r="C9" s="4"/>
      <c r="D9" s="15"/>
      <c r="E9" s="15"/>
      <c r="F9" s="33"/>
      <c r="G9" s="83"/>
      <c r="H9" s="83"/>
      <c r="I9" s="107"/>
    </row>
    <row r="10" spans="1:9" ht="15.75">
      <c r="A10" s="12">
        <v>1</v>
      </c>
      <c r="B10" s="3" t="s">
        <v>53</v>
      </c>
      <c r="C10" s="7">
        <v>1992</v>
      </c>
      <c r="D10" s="9">
        <f>TIME(,25,57)</f>
        <v>0.018020833333333333</v>
      </c>
      <c r="E10" s="1"/>
      <c r="F10" s="31">
        <f>SUM(C10:E10)</f>
        <v>1992.0180208333334</v>
      </c>
      <c r="G10" s="79">
        <f>TIME(,25,57)</f>
        <v>0.018020833333333333</v>
      </c>
      <c r="H10" s="78">
        <v>0.018136574074074072</v>
      </c>
      <c r="I10" s="107"/>
    </row>
    <row r="11" spans="1:9" ht="16.5" thickBot="1">
      <c r="A11" s="76">
        <v>2</v>
      </c>
      <c r="B11" s="84" t="s">
        <v>23</v>
      </c>
      <c r="C11" s="19">
        <v>1996</v>
      </c>
      <c r="D11" s="29">
        <f>TIME(,26,25)</f>
        <v>0.01834490740740741</v>
      </c>
      <c r="E11" s="20"/>
      <c r="F11" s="48">
        <f>SUM(C11:E11)</f>
        <v>1996.0183449074075</v>
      </c>
      <c r="G11" s="80">
        <f>TIME(,26,25)</f>
        <v>0.01834490740740741</v>
      </c>
      <c r="H11" s="81">
        <v>0.0159375</v>
      </c>
      <c r="I11" s="107"/>
    </row>
    <row r="12" ht="13.5" thickBot="1"/>
    <row r="13" spans="1:9" ht="16.5" thickBot="1">
      <c r="A13" s="14" t="s">
        <v>4</v>
      </c>
      <c r="B13" s="8" t="s">
        <v>50</v>
      </c>
      <c r="C13" s="22" t="s">
        <v>1</v>
      </c>
      <c r="D13" s="16" t="s">
        <v>6</v>
      </c>
      <c r="E13" s="16" t="s">
        <v>7</v>
      </c>
      <c r="F13" s="16" t="s">
        <v>8</v>
      </c>
      <c r="G13" s="17" t="s">
        <v>0</v>
      </c>
      <c r="H13" s="16" t="s">
        <v>95</v>
      </c>
      <c r="I13" s="97" t="s">
        <v>98</v>
      </c>
    </row>
    <row r="14" spans="1:11" ht="15.75">
      <c r="A14" s="12">
        <v>1</v>
      </c>
      <c r="B14" s="3" t="s">
        <v>3</v>
      </c>
      <c r="C14" s="7">
        <v>1998</v>
      </c>
      <c r="D14" s="9">
        <f>TIME(,10,13)</f>
        <v>0.007094907407407407</v>
      </c>
      <c r="E14" s="9">
        <f>TIME(,9,51)</f>
        <v>0.006840277777777778</v>
      </c>
      <c r="F14" s="9">
        <f>TIME(,9,37)</f>
        <v>0.0066782407407407415</v>
      </c>
      <c r="G14" s="31">
        <f aca="true" t="shared" si="1" ref="G14:G20">SUM(D14:F14)</f>
        <v>0.020613425925925927</v>
      </c>
      <c r="H14" s="78">
        <f>G14/3</f>
        <v>0.006871141975308643</v>
      </c>
      <c r="I14" s="108">
        <v>0.0072106481481481475</v>
      </c>
      <c r="J14" s="107"/>
      <c r="K14" s="107"/>
    </row>
    <row r="15" spans="1:11" ht="15.75">
      <c r="A15" s="12">
        <v>2</v>
      </c>
      <c r="B15" s="3" t="s">
        <v>46</v>
      </c>
      <c r="C15" s="7">
        <v>2000</v>
      </c>
      <c r="D15" s="9">
        <f>TIME(,10,25)</f>
        <v>0.007233796296296296</v>
      </c>
      <c r="E15" s="9">
        <f>TIME(,10,40)</f>
        <v>0.007407407407407407</v>
      </c>
      <c r="F15" s="9">
        <f>TIME(,10,27)</f>
        <v>0.007256944444444444</v>
      </c>
      <c r="G15" s="31">
        <f t="shared" si="1"/>
        <v>0.021898148148148146</v>
      </c>
      <c r="H15" s="78">
        <f aca="true" t="shared" si="2" ref="H15:H22">G15/3</f>
        <v>0.007299382716049382</v>
      </c>
      <c r="I15" s="78">
        <v>0.007199074074074074</v>
      </c>
      <c r="J15" s="107"/>
      <c r="K15" s="107"/>
    </row>
    <row r="16" spans="1:11" ht="15.75">
      <c r="A16" s="12">
        <v>3</v>
      </c>
      <c r="B16" s="3" t="s">
        <v>67</v>
      </c>
      <c r="C16" s="7">
        <v>1998</v>
      </c>
      <c r="D16" s="9">
        <f>TIME(,10,47)</f>
        <v>0.007488425925925926</v>
      </c>
      <c r="E16" s="9">
        <f>TIME(,10,59)</f>
        <v>0.007627314814814815</v>
      </c>
      <c r="F16" s="9">
        <f>TIME(,11,1)</f>
        <v>0.007650462962962963</v>
      </c>
      <c r="G16" s="31">
        <f t="shared" si="1"/>
        <v>0.022766203703703705</v>
      </c>
      <c r="H16" s="78">
        <f t="shared" si="2"/>
        <v>0.007588734567901235</v>
      </c>
      <c r="I16" s="109">
        <v>0.007233796296296297</v>
      </c>
      <c r="J16" s="107"/>
      <c r="K16" s="107"/>
    </row>
    <row r="17" spans="1:11" ht="15.75">
      <c r="A17" s="12">
        <v>4</v>
      </c>
      <c r="B17" s="3" t="s">
        <v>87</v>
      </c>
      <c r="C17" s="7">
        <v>1998</v>
      </c>
      <c r="D17" s="9">
        <f>TIME(,11,10)</f>
        <v>0.007754629629629629</v>
      </c>
      <c r="E17" s="9">
        <f>TIME(,11,47)</f>
        <v>0.00818287037037037</v>
      </c>
      <c r="F17" s="9">
        <f>TIME(,11,30)</f>
        <v>0.007986111111111112</v>
      </c>
      <c r="G17" s="31">
        <f t="shared" si="1"/>
        <v>0.02392361111111111</v>
      </c>
      <c r="H17" s="78">
        <f t="shared" si="2"/>
        <v>0.007974537037037037</v>
      </c>
      <c r="I17" s="110">
        <v>0.007997685185185186</v>
      </c>
      <c r="J17" s="107"/>
      <c r="K17" s="107"/>
    </row>
    <row r="18" spans="1:11" ht="15.75">
      <c r="A18" s="12">
        <v>5</v>
      </c>
      <c r="B18" s="3" t="s">
        <v>17</v>
      </c>
      <c r="C18" s="7">
        <v>2000</v>
      </c>
      <c r="D18" s="9">
        <f>TIME(,11,8)</f>
        <v>0.0077314814814814815</v>
      </c>
      <c r="E18" s="9">
        <f>TIME(,11,48)</f>
        <v>0.008194444444444445</v>
      </c>
      <c r="F18" s="9">
        <f>TIME(,12,21)</f>
        <v>0.008576388888888889</v>
      </c>
      <c r="G18" s="31">
        <f t="shared" si="1"/>
        <v>0.024502314814814817</v>
      </c>
      <c r="H18" s="78">
        <f t="shared" si="2"/>
        <v>0.008167438271604939</v>
      </c>
      <c r="I18" s="78">
        <v>0.00802662037037037</v>
      </c>
      <c r="J18" s="107"/>
      <c r="K18" s="107"/>
    </row>
    <row r="19" spans="1:11" ht="15.75">
      <c r="A19" s="12">
        <v>6</v>
      </c>
      <c r="B19" s="3" t="s">
        <v>68</v>
      </c>
      <c r="C19" s="7">
        <v>1998</v>
      </c>
      <c r="D19" s="9">
        <f>TIME(,11,8)</f>
        <v>0.0077314814814814815</v>
      </c>
      <c r="E19" s="9">
        <f>TIME(,12,15)</f>
        <v>0.008506944444444444</v>
      </c>
      <c r="F19" s="9">
        <f>TIME(,12,18)</f>
        <v>0.008541666666666668</v>
      </c>
      <c r="G19" s="31">
        <f t="shared" si="1"/>
        <v>0.024780092592592597</v>
      </c>
      <c r="H19" s="78">
        <f t="shared" si="2"/>
        <v>0.008260030864197533</v>
      </c>
      <c r="I19" s="109">
        <v>0.008603395061728395</v>
      </c>
      <c r="J19" s="107"/>
      <c r="K19" s="107"/>
    </row>
    <row r="20" spans="1:11" ht="15.75">
      <c r="A20" s="12">
        <v>7</v>
      </c>
      <c r="B20" s="3" t="s">
        <v>18</v>
      </c>
      <c r="C20" s="7">
        <v>2000</v>
      </c>
      <c r="D20" s="9">
        <f>TIME(,11,33)</f>
        <v>0.008020833333333333</v>
      </c>
      <c r="E20" s="9">
        <f>TIME(,11,59)</f>
        <v>0.00832175925925926</v>
      </c>
      <c r="F20" s="9">
        <f>TIME(,12,12)</f>
        <v>0.008472222222222221</v>
      </c>
      <c r="G20" s="31">
        <f t="shared" si="1"/>
        <v>0.024814814814814814</v>
      </c>
      <c r="H20" s="78">
        <f t="shared" si="2"/>
        <v>0.008271604938271605</v>
      </c>
      <c r="I20" s="78">
        <v>0.007326388888888889</v>
      </c>
      <c r="J20" s="107"/>
      <c r="K20" s="107"/>
    </row>
    <row r="21" spans="1:11" ht="15.75">
      <c r="A21" s="13"/>
      <c r="B21" s="4" t="s">
        <v>51</v>
      </c>
      <c r="C21" s="4"/>
      <c r="D21" s="15"/>
      <c r="E21" s="15"/>
      <c r="F21" s="15"/>
      <c r="G21" s="33"/>
      <c r="H21" s="83"/>
      <c r="I21" s="83"/>
      <c r="K21" s="107"/>
    </row>
    <row r="22" spans="1:11" ht="15.75">
      <c r="A22" s="12">
        <v>1</v>
      </c>
      <c r="B22" s="6" t="s">
        <v>74</v>
      </c>
      <c r="C22" s="5">
        <v>2003</v>
      </c>
      <c r="D22" s="9">
        <f>TIME(,10,28)</f>
        <v>0.007268518518518519</v>
      </c>
      <c r="E22" s="9">
        <f>TIME(,10,25)</f>
        <v>0.007233796296296296</v>
      </c>
      <c r="F22" s="1"/>
      <c r="G22" s="31">
        <f aca="true" t="shared" si="3" ref="G22:G27">SUM(D22:F22)</f>
        <v>0.014502314814814815</v>
      </c>
      <c r="H22" s="78">
        <f>G22/2</f>
        <v>0.0072511574074074076</v>
      </c>
      <c r="I22" s="78" t="s">
        <v>47</v>
      </c>
      <c r="K22" s="107"/>
    </row>
    <row r="23" spans="1:11" ht="15.75">
      <c r="A23" s="12">
        <v>2</v>
      </c>
      <c r="B23" s="6" t="s">
        <v>45</v>
      </c>
      <c r="C23" s="5">
        <v>2002</v>
      </c>
      <c r="D23" s="9">
        <f>TIME(,10,17)</f>
        <v>0.007141203703703704</v>
      </c>
      <c r="E23" s="9">
        <f>TIME(,10,41)</f>
        <v>0.007418981481481481</v>
      </c>
      <c r="F23" s="1"/>
      <c r="G23" s="31">
        <f t="shared" si="3"/>
        <v>0.014560185185185186</v>
      </c>
      <c r="H23" s="78">
        <f aca="true" t="shared" si="4" ref="H23:H34">G23/2</f>
        <v>0.007280092592592593</v>
      </c>
      <c r="I23" s="78">
        <v>0.0077314814814814815</v>
      </c>
      <c r="J23" s="107"/>
      <c r="K23" s="107"/>
    </row>
    <row r="24" spans="1:11" ht="15.75">
      <c r="A24" s="12">
        <v>3</v>
      </c>
      <c r="B24" s="6" t="s">
        <v>70</v>
      </c>
      <c r="C24" s="5">
        <v>2003</v>
      </c>
      <c r="D24" s="9">
        <f>TIME(,10,29)</f>
        <v>0.0072800925925925915</v>
      </c>
      <c r="E24" s="9">
        <f>TIME(,10,51)</f>
        <v>0.007534722222222221</v>
      </c>
      <c r="F24" s="1"/>
      <c r="G24" s="31">
        <f t="shared" si="3"/>
        <v>0.014814814814814812</v>
      </c>
      <c r="H24" s="78">
        <f t="shared" si="4"/>
        <v>0.007407407407407406</v>
      </c>
      <c r="I24" s="78" t="s">
        <v>47</v>
      </c>
      <c r="K24" s="107"/>
    </row>
    <row r="25" spans="1:11" ht="15.75">
      <c r="A25" s="12">
        <v>4</v>
      </c>
      <c r="B25" s="6" t="s">
        <v>73</v>
      </c>
      <c r="C25" s="5">
        <v>2002</v>
      </c>
      <c r="D25" s="9">
        <f>TIME(,11,4)</f>
        <v>0.007685185185185185</v>
      </c>
      <c r="E25" s="9">
        <f>TIME(,11,43)</f>
        <v>0.008136574074074074</v>
      </c>
      <c r="F25" s="1"/>
      <c r="G25" s="31">
        <f t="shared" si="3"/>
        <v>0.015821759259259258</v>
      </c>
      <c r="H25" s="78">
        <f t="shared" si="4"/>
        <v>0.007910879629629629</v>
      </c>
      <c r="I25" s="78" t="s">
        <v>47</v>
      </c>
      <c r="K25" s="107"/>
    </row>
    <row r="26" spans="1:11" ht="15.75">
      <c r="A26" s="12">
        <v>5</v>
      </c>
      <c r="B26" s="3" t="s">
        <v>72</v>
      </c>
      <c r="C26" s="5">
        <v>2003</v>
      </c>
      <c r="D26" s="9">
        <f>TIME(,11,8)</f>
        <v>0.0077314814814814815</v>
      </c>
      <c r="E26" s="9">
        <f>TIME(,11,44)</f>
        <v>0.008148148148148147</v>
      </c>
      <c r="F26" s="1"/>
      <c r="G26" s="31">
        <f t="shared" si="3"/>
        <v>0.01587962962962963</v>
      </c>
      <c r="H26" s="78">
        <f t="shared" si="4"/>
        <v>0.007939814814814814</v>
      </c>
      <c r="I26" s="78" t="s">
        <v>47</v>
      </c>
      <c r="K26" s="107"/>
    </row>
    <row r="27" spans="1:11" ht="15.75">
      <c r="A27" s="12">
        <v>6</v>
      </c>
      <c r="B27" s="6" t="s">
        <v>71</v>
      </c>
      <c r="C27" s="5">
        <v>2003</v>
      </c>
      <c r="D27" s="9">
        <f>TIME(,11,47)</f>
        <v>0.00818287037037037</v>
      </c>
      <c r="E27" s="9">
        <f>TIME(,12,30)</f>
        <v>0.008680555555555556</v>
      </c>
      <c r="F27" s="1"/>
      <c r="G27" s="31">
        <f t="shared" si="3"/>
        <v>0.016863425925925928</v>
      </c>
      <c r="H27" s="78">
        <f t="shared" si="4"/>
        <v>0.008431712962962964</v>
      </c>
      <c r="I27" s="78" t="s">
        <v>47</v>
      </c>
      <c r="K27" s="107"/>
    </row>
    <row r="28" spans="1:11" ht="15.75">
      <c r="A28" s="13"/>
      <c r="B28" s="4" t="s">
        <v>52</v>
      </c>
      <c r="C28" s="4"/>
      <c r="D28" s="15"/>
      <c r="E28" s="15"/>
      <c r="F28" s="15"/>
      <c r="G28" s="33"/>
      <c r="H28" s="33"/>
      <c r="I28" s="83"/>
      <c r="K28" s="107"/>
    </row>
    <row r="29" spans="1:11" ht="15.75">
      <c r="A29" s="12">
        <v>1</v>
      </c>
      <c r="B29" s="6" t="s">
        <v>82</v>
      </c>
      <c r="C29" s="5">
        <v>2003</v>
      </c>
      <c r="D29" s="9">
        <f>TIME(,11,51)</f>
        <v>0.008229166666666666</v>
      </c>
      <c r="E29" s="9">
        <f>TIME(,12,15)</f>
        <v>0.008506944444444444</v>
      </c>
      <c r="F29" s="1"/>
      <c r="G29" s="31">
        <f aca="true" t="shared" si="5" ref="G29:G34">SUM(D29:F29)</f>
        <v>0.01673611111111111</v>
      </c>
      <c r="H29" s="78">
        <f t="shared" si="4"/>
        <v>0.008368055555555556</v>
      </c>
      <c r="I29" s="78" t="s">
        <v>47</v>
      </c>
      <c r="K29" s="107"/>
    </row>
    <row r="30" spans="1:11" ht="15.75">
      <c r="A30" s="12">
        <v>2</v>
      </c>
      <c r="B30" s="6" t="s">
        <v>55</v>
      </c>
      <c r="C30" s="5">
        <v>2002</v>
      </c>
      <c r="D30" s="9">
        <f>TIME(,11,57)</f>
        <v>0.00829861111111111</v>
      </c>
      <c r="E30" s="9">
        <f>TIME(,12,18)</f>
        <v>0.008541666666666668</v>
      </c>
      <c r="F30" s="1"/>
      <c r="G30" s="31">
        <f t="shared" si="5"/>
        <v>0.01684027777777778</v>
      </c>
      <c r="H30" s="78">
        <f t="shared" si="4"/>
        <v>0.00842013888888889</v>
      </c>
      <c r="I30" s="78">
        <v>0.008686342592592593</v>
      </c>
      <c r="J30" s="107"/>
      <c r="K30" s="107"/>
    </row>
    <row r="31" spans="1:11" ht="15.75">
      <c r="A31" s="12">
        <v>3</v>
      </c>
      <c r="B31" s="6" t="s">
        <v>49</v>
      </c>
      <c r="C31" s="5">
        <v>2001</v>
      </c>
      <c r="D31" s="9">
        <f>TIME(,12,10)</f>
        <v>0.008449074074074074</v>
      </c>
      <c r="E31" s="9">
        <f>TIME(,12,30)</f>
        <v>0.008680555555555556</v>
      </c>
      <c r="F31" s="1"/>
      <c r="G31" s="31">
        <f t="shared" si="5"/>
        <v>0.01712962962962963</v>
      </c>
      <c r="H31" s="78">
        <f t="shared" si="4"/>
        <v>0.008564814814814815</v>
      </c>
      <c r="I31" s="78">
        <v>0.008616898148148148</v>
      </c>
      <c r="J31" s="107"/>
      <c r="K31" s="107"/>
    </row>
    <row r="32" spans="1:11" ht="15.75">
      <c r="A32" s="12">
        <v>4</v>
      </c>
      <c r="B32" s="3" t="s">
        <v>54</v>
      </c>
      <c r="C32" s="5">
        <v>2002</v>
      </c>
      <c r="D32" s="9">
        <f>TIME(,12,5)</f>
        <v>0.008391203703703705</v>
      </c>
      <c r="E32" s="9">
        <f>TIME(,12,39)</f>
        <v>0.008784722222222223</v>
      </c>
      <c r="F32" s="1"/>
      <c r="G32" s="31">
        <f t="shared" si="5"/>
        <v>0.017175925925925928</v>
      </c>
      <c r="H32" s="78">
        <f t="shared" si="4"/>
        <v>0.008587962962962964</v>
      </c>
      <c r="I32" s="78">
        <v>0.008315972222222223</v>
      </c>
      <c r="J32" s="107"/>
      <c r="K32" s="107"/>
    </row>
    <row r="33" spans="1:11" ht="15.75">
      <c r="A33" s="12">
        <v>5</v>
      </c>
      <c r="B33" s="6" t="s">
        <v>57</v>
      </c>
      <c r="C33" s="5">
        <v>2002</v>
      </c>
      <c r="D33" s="9">
        <f>TIME(,12,42)</f>
        <v>0.008819444444444444</v>
      </c>
      <c r="E33" s="9">
        <f>TIME(,13,11)</f>
        <v>0.009155092592592593</v>
      </c>
      <c r="F33" s="1"/>
      <c r="G33" s="31">
        <f t="shared" si="5"/>
        <v>0.01797453703703704</v>
      </c>
      <c r="H33" s="78">
        <f t="shared" si="4"/>
        <v>0.00898726851851852</v>
      </c>
      <c r="I33" s="78">
        <v>0.008749999999999999</v>
      </c>
      <c r="J33" s="107"/>
      <c r="K33" s="107"/>
    </row>
    <row r="34" spans="1:11" ht="16.5" thickBot="1">
      <c r="A34" s="76">
        <v>6</v>
      </c>
      <c r="B34" s="18" t="s">
        <v>75</v>
      </c>
      <c r="C34" s="82">
        <v>1999</v>
      </c>
      <c r="D34" s="29">
        <f>TIME(,12,30)</f>
        <v>0.008680555555555556</v>
      </c>
      <c r="E34" s="29">
        <f>TIME(,14,1)</f>
        <v>0.009733796296296298</v>
      </c>
      <c r="F34" s="20"/>
      <c r="G34" s="48">
        <f t="shared" si="5"/>
        <v>0.018414351851851855</v>
      </c>
      <c r="H34" s="81">
        <f t="shared" si="4"/>
        <v>0.009207175925925928</v>
      </c>
      <c r="I34" s="81" t="s">
        <v>47</v>
      </c>
      <c r="K34" s="10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 Dukla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Korunka</dc:creator>
  <cp:keywords/>
  <dc:description/>
  <cp:lastModifiedBy>Roman</cp:lastModifiedBy>
  <cp:lastPrinted>2013-09-24T15:45:56Z</cp:lastPrinted>
  <dcterms:created xsi:type="dcterms:W3CDTF">2012-06-05T09:00:08Z</dcterms:created>
  <dcterms:modified xsi:type="dcterms:W3CDTF">2017-10-22T17:08:07Z</dcterms:modified>
  <cp:category/>
  <cp:version/>
  <cp:contentType/>
  <cp:contentStatus/>
</cp:coreProperties>
</file>